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90" windowWidth="19875" windowHeight="7935" activeTab="0"/>
  </bookViews>
  <sheets>
    <sheet name="PL TONG HOP" sheetId="1" r:id="rId1"/>
    <sheet name="NN" sheetId="2" r:id="rId2"/>
    <sheet name="NN GUI LAN 2" sheetId="3" r:id="rId3"/>
    <sheet name="NTM" sheetId="4" r:id="rId4"/>
    <sheet name="KTTT" sheetId="5" r:id="rId5"/>
  </sheets>
  <definedNames/>
  <calcPr fullCalcOnLoad="1"/>
</workbook>
</file>

<file path=xl/sharedStrings.xml><?xml version="1.0" encoding="utf-8"?>
<sst xmlns="http://schemas.openxmlformats.org/spreadsheetml/2006/main" count="897" uniqueCount="306">
  <si>
    <t>Biểu số 01</t>
  </si>
  <si>
    <t xml:space="preserve"> CÁC CHỈ TIÊU KINH TẾ TỔNG HỢP</t>
  </si>
  <si>
    <t>(Ban hành kèm theo Báo cáo  số         /BC-UBND, ngày      tháng      năm 2016 của UBND huyện Đắk Mil)</t>
  </si>
  <si>
    <t>(Kèm theo tờ trình số           /TTr -TCKH ngày 22/12/2016 của phòng Tài chính - Kế hoạch)</t>
  </si>
  <si>
    <t>(Kèm theo Báo cáo số:             /BC-UBND ngày       /         /2019 của UBND huyện Đăk Mil)</t>
  </si>
  <si>
    <t>STT</t>
  </si>
  <si>
    <t>Chỉ tiêu</t>
  </si>
  <si>
    <t xml:space="preserve">Đơn vị </t>
  </si>
  <si>
    <t>Thực hiện 2016</t>
  </si>
  <si>
    <t>Thực hiện năm 2018</t>
  </si>
  <si>
    <t>Năm 2019</t>
  </si>
  <si>
    <t>Kế hoạch 2020</t>
  </si>
  <si>
    <t>Kế hoạch 2020 so với ước thực hiện 2019 (%)</t>
  </si>
  <si>
    <t>Ghi chú</t>
  </si>
  <si>
    <t>Kế hoạch</t>
  </si>
  <si>
    <t>Tính theo chi phí trung gian mới</t>
  </si>
  <si>
    <t>ước thực hiện 6 tháng đầu năm</t>
  </si>
  <si>
    <t>Ước thực hiện cả năm</t>
  </si>
  <si>
    <t>Ước thực hiện 2019 so với thực hiện 2018 (%)</t>
  </si>
  <si>
    <t>I</t>
  </si>
  <si>
    <t>CHỈ TIÊU KINH TẾ</t>
  </si>
  <si>
    <t>Tổng giá trị gia tăng (giá cố định 2010)</t>
  </si>
  <si>
    <t>Tỷ đồng</t>
  </si>
  <si>
    <t>Trong đó:</t>
  </si>
  <si>
    <t>-</t>
  </si>
  <si>
    <t>Nông, lâm nghiệp, thuỷ sản</t>
  </si>
  <si>
    <t>Công nghiệp - xây dựng</t>
  </si>
  <si>
    <t>+</t>
  </si>
  <si>
    <t>Công nghiệp</t>
  </si>
  <si>
    <t>Xây dựng</t>
  </si>
  <si>
    <t>Thương mại và dịch vụ</t>
  </si>
  <si>
    <t>Tốc độ tăng trưởng kinh tế (GRDP)</t>
  </si>
  <si>
    <t>%</t>
  </si>
  <si>
    <t>Đánh giá cuối năm</t>
  </si>
  <si>
    <t>Tổng giá trị gia tăng (giá hiện hành)</t>
  </si>
  <si>
    <t>Giá trị gia tăng bình quân đầu người</t>
  </si>
  <si>
    <t>Triệu đồng</t>
  </si>
  <si>
    <t>Cơ cấu tổng giá trị gia tăng theo ngành kinh tế</t>
  </si>
  <si>
    <t>Tỷ lệ vốn đầu tư phát triển toàn xã hội / GRDP</t>
  </si>
  <si>
    <t>Thu - Chi ngân sách</t>
  </si>
  <si>
    <t>a</t>
  </si>
  <si>
    <t>Tổng thu ngân sách Nhà nước trên địa bàn</t>
  </si>
  <si>
    <t>Thu trong cân đối ngân sách</t>
  </si>
  <si>
    <t>Thu thuế, phí và lệ phí</t>
  </si>
  <si>
    <t>Thu sử dụng đất</t>
  </si>
  <si>
    <t>Thu khác ngân sách (bao gồm thu khác về thuế)</t>
  </si>
  <si>
    <t>Thu hồi vốn, thu cổ tức</t>
  </si>
  <si>
    <t>Thu huy động QLQNSNN (thu nợ đọng HĐĐG)</t>
  </si>
  <si>
    <t>b</t>
  </si>
  <si>
    <t>Chi ngân sách địa phương</t>
  </si>
  <si>
    <t>479, trong đó có 30 tỷ thu SDĐ</t>
  </si>
  <si>
    <t>Chi đầu tư phát triển vốn cân đối ngân sách địa phương</t>
  </si>
  <si>
    <t>TS 71,4 tỷ, vốn chưa phân bổ 11,6 tỷ</t>
  </si>
  <si>
    <t>Hạ tầng giao thông và hạ tầng thiết yếu</t>
  </si>
  <si>
    <t>Tỷ lệ nhựa hóa đường huyện</t>
  </si>
  <si>
    <t>Tỷ lệ nhựa, bê tông hóa đường xã</t>
  </si>
  <si>
    <t>Tỷ lệ bon có 1 - 2 km đường nhựa</t>
  </si>
  <si>
    <t>Hạ tầng cấp thoát nước, xử lý rác thải</t>
  </si>
  <si>
    <t>Đáp ứng nguồn nước tưới
cho diện tích cây trồng có nhu cầu</t>
  </si>
  <si>
    <t>Tỷ lệ dân cư đô thị sử dụng nước sạch</t>
  </si>
  <si>
    <t>Tỷ lệ dân cư nông thôn sử dụng nước sạch</t>
  </si>
  <si>
    <t>Tỷ lệ chất thải rắn ở đô thị được thu gom, xử lý</t>
  </si>
  <si>
    <t>Tỷ lệ chất thải rắn ở nông thôn được
thu gom, xử lý</t>
  </si>
  <si>
    <t>Hạ tầng cấp điện</t>
  </si>
  <si>
    <t>Tỷ lệ số hộ được sử dụng điện</t>
  </si>
  <si>
    <t>Tỷ lệ thôn, bon có điện lưới quốc gia</t>
  </si>
  <si>
    <t>II</t>
  </si>
  <si>
    <t>CHỈ TIÊU VĂN HÓA - XÃ HỘI</t>
  </si>
  <si>
    <t>Dân số trung bình</t>
  </si>
  <si>
    <t>Người</t>
  </si>
  <si>
    <t>Tỷ lệ tăng tự nhiên của dân số</t>
  </si>
  <si>
    <t>Mức giảm tỷ lệ sinh</t>
  </si>
  <si>
    <t>‰</t>
  </si>
  <si>
    <t>Tuổi thọ trung bình</t>
  </si>
  <si>
    <t>Tuổi</t>
  </si>
  <si>
    <t>Lao động và việc làm</t>
  </si>
  <si>
    <t xml:space="preserve">Số lao động được giải quyết việc làm </t>
  </si>
  <si>
    <t>Lao động</t>
  </si>
  <si>
    <t>Đào tạo nghề cho lao động nông thôn</t>
  </si>
  <si>
    <t>Tỷ lệ lao động qua đào tạo</t>
  </si>
  <si>
    <t xml:space="preserve">Giảm nghèo </t>
  </si>
  <si>
    <t>Tỷ lệ hộ nghèo</t>
  </si>
  <si>
    <t>Giảm 0,73%</t>
  </si>
  <si>
    <t>Trong đó: Tỷ lệ Hộ nghèo đồng bào dân tộc thiểu số/ tổng số hộ nghèo</t>
  </si>
  <si>
    <t>Giảm 4%</t>
  </si>
  <si>
    <t>Y tế</t>
  </si>
  <si>
    <t>Tỷ lệ xã, thị trấn có trạm y tế</t>
  </si>
  <si>
    <t>Số giường bệnh/vạn dân (không tính số giường của trạm y tế)</t>
  </si>
  <si>
    <t>Giường</t>
  </si>
  <si>
    <t>176 giường/110.900 dân</t>
  </si>
  <si>
    <t>Số bác sỹ/vạn dân</t>
  </si>
  <si>
    <t>Bác sỹ</t>
  </si>
  <si>
    <t>Tỷ lệ trạm y tế xã, thị trấn có bác sỹ</t>
  </si>
  <si>
    <t>Tỷ lệ xã, thị trấn đạt chuẩn quốc gia về y tế</t>
  </si>
  <si>
    <t>Tỷ lệ  trẻ em dưới 5 tuổi suy dinh dưỡng</t>
  </si>
  <si>
    <t xml:space="preserve">Tỷ lệ tiêm chủng mở rộng cho trẻ em </t>
  </si>
  <si>
    <t>Tỷ lệ dân số tham gia bảo hiểm y tế</t>
  </si>
  <si>
    <t>Giáo dục</t>
  </si>
  <si>
    <t>Tỷ lệ phổ cập THCS xã, thị trấn</t>
  </si>
  <si>
    <t>Số xã, thị trấn phổ cập mầm non 05 tuổi</t>
  </si>
  <si>
    <t>Xã, thị trấn</t>
  </si>
  <si>
    <t>Số trường ở các cấp học mới được công nhận đạt chuẩn QG</t>
  </si>
  <si>
    <t>Trường/
năm</t>
  </si>
  <si>
    <t>Từ 1-2 trường</t>
  </si>
  <si>
    <t>Tỷ lệ trẻ em 5 tuổi đi học mẫu giáo</t>
  </si>
  <si>
    <t>Tỷ lệ học sinh Tiểu học đi học</t>
  </si>
  <si>
    <t>Tỷ lệ học sinh THCS đi học</t>
  </si>
  <si>
    <t>Tỷ lệ học sinh THPT đi học</t>
  </si>
  <si>
    <t>Văn hóa</t>
  </si>
  <si>
    <t>Tỷ lệ hộ gia đình đạt danh hiệu văn hóa</t>
  </si>
  <si>
    <t>Tỷ lệ thôn, bon, bản, tổ dân phố văn hóa</t>
  </si>
  <si>
    <t>Tỷ lệ xã, thị trấn văn hóa</t>
  </si>
  <si>
    <t>Tỷ lệ cơ quan, đơn vị văn hóa</t>
  </si>
  <si>
    <t>Nông thôn mới</t>
  </si>
  <si>
    <t>Số xã đạt chuẩn nông thôn mới</t>
  </si>
  <si>
    <t>xã</t>
  </si>
  <si>
    <t>Tiêu chí về nông thôn mới</t>
  </si>
  <si>
    <t>Mỗi xã tăng thêm từ 1-2 tiêu chí</t>
  </si>
  <si>
    <t>Độ che phủ rừng</t>
  </si>
  <si>
    <t>Gọi công dân nhập ngũ</t>
  </si>
  <si>
    <t xml:space="preserve"> </t>
  </si>
  <si>
    <t>Biểu số 02</t>
  </si>
  <si>
    <t>CHỈ TIÊU SẢN XUẤT CÁC SẢN PHẨM CÔNG, NÔNG NGHIỆP CHỦ YẾU</t>
  </si>
  <si>
    <t>Đơn vị tính</t>
  </si>
  <si>
    <t>Thực hiện 2018</t>
  </si>
  <si>
    <t>Kế hoạch 2019</t>
  </si>
  <si>
    <t>Kế hoạch năm 2020</t>
  </si>
  <si>
    <t>Kế hoạch 2020 so với ước TH 2019 (%)</t>
  </si>
  <si>
    <t>Kế hoạch năm 2019</t>
  </si>
  <si>
    <t>Ước thực hiện 6 tháng năm 2019</t>
  </si>
  <si>
    <t>Ước thực hiện cả năm 2019</t>
  </si>
  <si>
    <t>Ước TH 2019/TH 2018 (%)</t>
  </si>
  <si>
    <t>A</t>
  </si>
  <si>
    <t>Nông, lâm,ngư, nghiệp</t>
  </si>
  <si>
    <t>Tổng DT gieo trồng</t>
  </si>
  <si>
    <t>DT (ha)</t>
  </si>
  <si>
    <t>Tổng SL lương thực</t>
  </si>
  <si>
    <t>SL(tấn)</t>
  </si>
  <si>
    <t>Thóc</t>
  </si>
  <si>
    <t>Ngô</t>
  </si>
  <si>
    <t>Cây hàng năm</t>
  </si>
  <si>
    <t xml:space="preserve"> Cây lương thực có hạt</t>
  </si>
  <si>
    <t>1.1</t>
  </si>
  <si>
    <t>Lúa nước</t>
  </si>
  <si>
    <t>Lúa  Đông Xuân</t>
  </si>
  <si>
    <t>Lúa Hè Thu</t>
  </si>
  <si>
    <t>1.2</t>
  </si>
  <si>
    <t xml:space="preserve"> Lúa cạn</t>
  </si>
  <si>
    <t>1.3</t>
  </si>
  <si>
    <t xml:space="preserve"> Ngô</t>
  </si>
  <si>
    <t>Ngô ĐX</t>
  </si>
  <si>
    <t>Ngô HT</t>
  </si>
  <si>
    <t>Ngô TĐ</t>
  </si>
  <si>
    <t>Cây có củ</t>
  </si>
  <si>
    <t>2.1</t>
  </si>
  <si>
    <t>Sắn</t>
  </si>
  <si>
    <t>2.2</t>
  </si>
  <si>
    <t>Khoai lang</t>
  </si>
  <si>
    <t>Khoai lang ĐX</t>
  </si>
  <si>
    <t>Khoai lang HT</t>
  </si>
  <si>
    <t>Khoai lang TĐ</t>
  </si>
  <si>
    <t>Cây thực phẩm</t>
  </si>
  <si>
    <t>3.1</t>
  </si>
  <si>
    <t>Đậu các loại</t>
  </si>
  <si>
    <t>Đậu các loại HT</t>
  </si>
  <si>
    <t>Đậu các loại TĐ</t>
  </si>
  <si>
    <t>3.2</t>
  </si>
  <si>
    <t xml:space="preserve">Đậu xanh </t>
  </si>
  <si>
    <t>3.3</t>
  </si>
  <si>
    <t xml:space="preserve"> Rau xanh</t>
  </si>
  <si>
    <t>Rau xanh ĐX</t>
  </si>
  <si>
    <t>Rau xanh HT</t>
  </si>
  <si>
    <t>Rau xanh TĐ</t>
  </si>
  <si>
    <t>Cây CN ngắn ngày</t>
  </si>
  <si>
    <t>4.1</t>
  </si>
  <si>
    <t>Đậu lạc</t>
  </si>
  <si>
    <t>Đậu lạc HT</t>
  </si>
  <si>
    <t>Đậu lạc TĐ</t>
  </si>
  <si>
    <t>4.2</t>
  </si>
  <si>
    <t>Đậu nành</t>
  </si>
  <si>
    <t>Đậu nành HT</t>
  </si>
  <si>
    <t>Đậu nành TĐ</t>
  </si>
  <si>
    <t>4.3</t>
  </si>
  <si>
    <t>Mía</t>
  </si>
  <si>
    <t>Cây hàng năm khác (chanh dây, khoai tây, măng tây,)</t>
  </si>
  <si>
    <t xml:space="preserve">Cây lâu năm </t>
  </si>
  <si>
    <t>Cây CN lâu năm</t>
  </si>
  <si>
    <t>Cây cà phê</t>
  </si>
  <si>
    <t>DT (KD)</t>
  </si>
  <si>
    <t>DT KTCB</t>
  </si>
  <si>
    <t>Cao su</t>
  </si>
  <si>
    <t>Cây điều</t>
  </si>
  <si>
    <t>1.4</t>
  </si>
  <si>
    <t>Cây hồ tiêu</t>
  </si>
  <si>
    <t>DT.KD (ha)</t>
  </si>
  <si>
    <t>DT KTCB (ha)</t>
  </si>
  <si>
    <t>1.5</t>
  </si>
  <si>
    <t>Ca cao</t>
  </si>
  <si>
    <t>1.6</t>
  </si>
  <si>
    <t>Dừa</t>
  </si>
  <si>
    <t>1.7</t>
  </si>
  <si>
    <t>Chè</t>
  </si>
  <si>
    <t>Cây ăn quả các loại</t>
  </si>
  <si>
    <t>Cam, chanh, quýt</t>
  </si>
  <si>
    <t>Dứa</t>
  </si>
  <si>
    <t>2.3</t>
  </si>
  <si>
    <t>Chuối</t>
  </si>
  <si>
    <t>2.4</t>
  </si>
  <si>
    <t>Xoài</t>
  </si>
  <si>
    <t>2.5</t>
  </si>
  <si>
    <t>Nhãn, vải, chôm chôm</t>
  </si>
  <si>
    <t>2.6</t>
  </si>
  <si>
    <t>Thanh long</t>
  </si>
  <si>
    <t>2.7</t>
  </si>
  <si>
    <t>Bưởi</t>
  </si>
  <si>
    <t>2.8</t>
  </si>
  <si>
    <t>Sầu riêng</t>
  </si>
  <si>
    <t>2.9</t>
  </si>
  <si>
    <t>Mít</t>
  </si>
  <si>
    <t>2.10</t>
  </si>
  <si>
    <t>Bơ</t>
  </si>
  <si>
    <t>2.11</t>
  </si>
  <si>
    <t>Cây ăn quả khác</t>
  </si>
  <si>
    <t>Gừng</t>
  </si>
  <si>
    <t>Cây Thức ăn gia súc</t>
  </si>
  <si>
    <t>Hoa, cây cảnh</t>
  </si>
  <si>
    <t>III</t>
  </si>
  <si>
    <t>Chăn nuôi</t>
  </si>
  <si>
    <t xml:space="preserve"> Tổng đàn trâu</t>
  </si>
  <si>
    <t>con</t>
  </si>
  <si>
    <t xml:space="preserve"> Tổng đàn bò</t>
  </si>
  <si>
    <t xml:space="preserve"> Tổng đàn heo</t>
  </si>
  <si>
    <t xml:space="preserve"> Tổng đàn gia cầm</t>
  </si>
  <si>
    <t>Tổng đàn dê</t>
  </si>
  <si>
    <t xml:space="preserve"> Động vật các loại</t>
  </si>
  <si>
    <t xml:space="preserve"> Thịt hơi</t>
  </si>
  <si>
    <t>tấn</t>
  </si>
  <si>
    <t>IV</t>
  </si>
  <si>
    <t>Thuỷ sản</t>
  </si>
  <si>
    <t xml:space="preserve"> Diện tích nuôi trồng TS</t>
  </si>
  <si>
    <t>Ha</t>
  </si>
  <si>
    <t xml:space="preserve"> Sản lượng NT và ĐB TN</t>
  </si>
  <si>
    <t>Tấn</t>
  </si>
  <si>
    <t>Trong đó: sản lượng nuôi trồng</t>
  </si>
  <si>
    <t>B</t>
  </si>
  <si>
    <t>CÔNG NGHIỆP</t>
  </si>
  <si>
    <t>Sản phẩm chủ yếu</t>
  </si>
  <si>
    <t>Điện thương phẩm</t>
  </si>
  <si>
    <t>Tr.Kwh</t>
  </si>
  <si>
    <t>Đá xây dựng các loại</t>
  </si>
  <si>
    <t>Ngàn m3</t>
  </si>
  <si>
    <t>Chế biến cà phê nhân</t>
  </si>
  <si>
    <t>Ngàn tấn</t>
  </si>
  <si>
    <t>Chế biến cà phê bột</t>
  </si>
  <si>
    <t>Nước uống đóng chai</t>
  </si>
  <si>
    <t>Ngàn lit</t>
  </si>
  <si>
    <t>Phân vi sinh</t>
  </si>
  <si>
    <t>Mủ cao  su</t>
  </si>
  <si>
    <t>Nước máy (uống được)</t>
  </si>
  <si>
    <t>Sản phẩm Inox (Bồn chứa, rửa,..)</t>
  </si>
  <si>
    <t>Sản phẩm</t>
  </si>
  <si>
    <t>Biểu số 04</t>
  </si>
  <si>
    <t>TIÊU CHÍ NÔNG THÔN MỚI</t>
  </si>
  <si>
    <t>Tên xã</t>
  </si>
  <si>
    <t>Số tiêu chí đạt trong 6 tháng đầu năm 2019</t>
  </si>
  <si>
    <t xml:space="preserve">Tên tiêu chí </t>
  </si>
  <si>
    <t>Số tiêu chí ước đạt đến cuối năm 2019</t>
  </si>
  <si>
    <t>Xã Đức Minh</t>
  </si>
  <si>
    <t>Xã Đức Mạnh</t>
  </si>
  <si>
    <t>Xã Đăk Săk</t>
  </si>
  <si>
    <t>Xã Đăk Rla</t>
  </si>
  <si>
    <t>Xã Đăk Lao</t>
  </si>
  <si>
    <t>Xã Thuận An</t>
  </si>
  <si>
    <t>Xã Đăk ND Rót</t>
  </si>
  <si>
    <t>Xã Đăk Gằn</t>
  </si>
  <si>
    <t>Xã Long Sơn</t>
  </si>
  <si>
    <t>Tổng số</t>
  </si>
  <si>
    <t>CÁC CHỈ TIÊU PHÁT TRIỂN KINH TẾ TẬP THỂ</t>
  </si>
  <si>
    <t>TT</t>
  </si>
  <si>
    <t>Đơn vị</t>
  </si>
  <si>
    <t>Thực hiện  2018</t>
  </si>
  <si>
    <t>Thực hiện 6 tháng</t>
  </si>
  <si>
    <t>8=7/4</t>
  </si>
  <si>
    <t>10=9/7</t>
  </si>
  <si>
    <t>PHÁT TRIỂN KINH TẾ TẬP THỂ</t>
  </si>
  <si>
    <t>Hợp tác xã</t>
  </si>
  <si>
    <t>Tổng số  hợp tác xã</t>
  </si>
  <si>
    <t>Số hợp tác xã thành lập mới</t>
  </si>
  <si>
    <t>Số hợp tác xã giải thể</t>
  </si>
  <si>
    <t>Tổng số thành viên hợp tác xã</t>
  </si>
  <si>
    <t>Tổng số lao động trong hợp tác xã</t>
  </si>
  <si>
    <t>Trong đó: Số lao động là thành viên hợp tác xã</t>
  </si>
  <si>
    <t>Thu nhập bình quân người lao động hợp tác xã/năm</t>
  </si>
  <si>
    <t>Liên hiệp hợp tác xã</t>
  </si>
  <si>
    <t>Tổng số liên hiệp hợp tác xã</t>
  </si>
  <si>
    <t>Trong đó: Số liên hiệp hợp tác xã thành lập mới</t>
  </si>
  <si>
    <t xml:space="preserve">Tổ hợp tác </t>
  </si>
  <si>
    <t>Tổng số tổ hợp tác</t>
  </si>
  <si>
    <t>Tổ hợp tác</t>
  </si>
  <si>
    <t>Trong đó: Số tổ hợp tác đăng ký chứng thực</t>
  </si>
  <si>
    <t xml:space="preserve">Tổng số thành viên tổ hợp tác </t>
  </si>
  <si>
    <t>Thành viên</t>
  </si>
  <si>
    <t>30.70</t>
  </si>
  <si>
    <t>Chờ kết quả TĐT dân số</t>
  </si>
  <si>
    <t>Chờ công bố kết quả TĐT dân số 2019</t>
  </si>
  <si>
    <t>Biểu số 03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</si>
</sst>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_(* #,##0.0000000_);_(* \(#,##0.0000000\);_(* &quot;-&quot;??_);_(@_)"/>
    <numFmt numFmtId="176" formatCode="_(* #,##0.000_);_(* \(#,##0.000\);_(* &quot;-&quot;??_);_(@_)"/>
    <numFmt numFmtId="177" formatCode="0.000"/>
    <numFmt numFmtId="178" formatCode="0.0000"/>
    <numFmt numFmtId="179" formatCode="_(* #,##0.0000_);_(* \(#,##0.0000\);_(* &quot;-&quot;??_);_(@_)"/>
    <numFmt numFmtId="180" formatCode="_(* #,##0.0_);_(* \(#,##0.0\);_(* &quot;-&quot;?_);_(@_)"/>
    <numFmt numFmtId="181" formatCode="#,##0.0"/>
    <numFmt numFmtId="182" formatCode="_-* #,##0.0\ _₫_-;\-* #,##0.0\ _₫_-;_-* &quot;-&quot;?\ _₫_-;_-@_-"/>
  </numFmts>
  <fonts count="57">
    <font>
      <sz val="13"/>
      <name val="Arial"/>
      <family val="0"/>
    </font>
    <font>
      <b/>
      <sz val="16"/>
      <name val="Times New Roman"/>
      <family val="1"/>
    </font>
    <font>
      <sz val="11"/>
      <name val="Calibri"/>
      <family val="2"/>
    </font>
    <font>
      <b/>
      <sz val="2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4"/>
      <name val="Times New Roman"/>
      <family val="1"/>
    </font>
    <font>
      <i/>
      <sz val="14"/>
      <color indexed="8"/>
      <name val="Times New Roman"/>
      <family val="1"/>
    </font>
    <font>
      <i/>
      <sz val="13"/>
      <name val="Times New Roman"/>
      <family val="1"/>
    </font>
    <font>
      <i/>
      <sz val="15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4"/>
      <name val="Calibri"/>
      <family val="2"/>
    </font>
    <font>
      <sz val="14"/>
      <color indexed="8"/>
      <name val="Times New Roman"/>
      <family val="1"/>
    </font>
    <font>
      <sz val="13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i/>
      <sz val="12"/>
      <name val="Calibri"/>
      <family val="2"/>
    </font>
    <font>
      <b/>
      <sz val="12"/>
      <color indexed="10"/>
      <name val="Calibri"/>
      <family val="2"/>
    </font>
    <font>
      <sz val="12"/>
      <color indexed="9"/>
      <name val="Times New Roman"/>
      <family val="1"/>
    </font>
    <font>
      <b/>
      <sz val="13"/>
      <name val="Times New Roman"/>
      <family val="1"/>
    </font>
    <font>
      <b/>
      <sz val="15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9" borderId="0" applyNumberFormat="0" applyBorder="0" applyAlignment="0" applyProtection="0"/>
    <xf numFmtId="0" fontId="46" fillId="3" borderId="0" applyNumberFormat="0" applyBorder="0" applyAlignment="0" applyProtection="0"/>
    <xf numFmtId="0" fontId="50" fillId="20" borderId="1" applyNumberFormat="0" applyAlignment="0" applyProtection="0"/>
    <xf numFmtId="0" fontId="5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8" fillId="7" borderId="1" applyNumberFormat="0" applyAlignment="0" applyProtection="0"/>
    <xf numFmtId="0" fontId="51" fillId="0" borderId="6" applyNumberFormat="0" applyFill="0" applyAlignment="0" applyProtection="0"/>
    <xf numFmtId="0" fontId="47" fillId="2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0" fillId="23" borderId="7" applyNumberFormat="0" applyFont="0" applyAlignment="0" applyProtection="0"/>
    <xf numFmtId="0" fontId="49" fillId="20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0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3" fontId="12" fillId="0" borderId="0" xfId="0" applyNumberFormat="1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/>
    </xf>
    <xf numFmtId="0" fontId="14" fillId="0" borderId="0" xfId="0" applyFont="1" applyFill="1" applyAlignment="1">
      <alignment horizontal="center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43" fontId="15" fillId="0" borderId="11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0" fontId="15" fillId="0" borderId="11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15" fillId="0" borderId="10" xfId="0" applyFont="1" applyFill="1" applyBorder="1" applyAlignment="1">
      <alignment horizontal="left" vertical="center"/>
    </xf>
    <xf numFmtId="172" fontId="16" fillId="0" borderId="10" xfId="0" applyNumberFormat="1" applyFont="1" applyFill="1" applyBorder="1" applyAlignment="1">
      <alignment horizontal="right" vertical="center" wrapText="1"/>
    </xf>
    <xf numFmtId="173" fontId="16" fillId="0" borderId="10" xfId="0" applyNumberFormat="1" applyFont="1" applyFill="1" applyBorder="1" applyAlignment="1">
      <alignment horizontal="right" vertical="center" wrapText="1"/>
    </xf>
    <xf numFmtId="2" fontId="16" fillId="0" borderId="10" xfId="0" applyNumberFormat="1" applyFont="1" applyFill="1" applyBorder="1" applyAlignment="1">
      <alignment horizontal="right" vertical="center" wrapText="1"/>
    </xf>
    <xf numFmtId="2" fontId="15" fillId="0" borderId="10" xfId="0" applyNumberFormat="1" applyFont="1" applyFill="1" applyBorder="1" applyAlignment="1">
      <alignment horizontal="right" vertical="center" wrapText="1"/>
    </xf>
    <xf numFmtId="174" fontId="19" fillId="0" borderId="10" xfId="0" applyNumberFormat="1" applyFont="1" applyFill="1" applyBorder="1" applyAlignment="1">
      <alignment vertical="center" wrapText="1"/>
    </xf>
    <xf numFmtId="174" fontId="20" fillId="0" borderId="0" xfId="0" applyNumberFormat="1" applyFont="1" applyFill="1" applyBorder="1" applyAlignment="1">
      <alignment vertical="center"/>
    </xf>
    <xf numFmtId="175" fontId="19" fillId="0" borderId="0" xfId="0" applyNumberFormat="1" applyFont="1" applyFill="1" applyBorder="1" applyAlignment="1">
      <alignment vertical="center" wrapText="1"/>
    </xf>
    <xf numFmtId="43" fontId="19" fillId="0" borderId="0" xfId="0" applyNumberFormat="1" applyFont="1" applyFill="1" applyBorder="1" applyAlignment="1">
      <alignment vertical="center" wrapText="1"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18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vertical="center"/>
    </xf>
    <xf numFmtId="43" fontId="22" fillId="0" borderId="10" xfId="0" applyNumberFormat="1" applyFont="1" applyFill="1" applyBorder="1" applyAlignment="1">
      <alignment vertical="center"/>
    </xf>
    <xf numFmtId="173" fontId="19" fillId="0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right" vertical="center" wrapText="1"/>
    </xf>
    <xf numFmtId="174" fontId="22" fillId="0" borderId="0" xfId="0" applyNumberFormat="1" applyFont="1" applyFill="1" applyBorder="1" applyAlignment="1">
      <alignment vertical="center"/>
    </xf>
    <xf numFmtId="172" fontId="19" fillId="0" borderId="0" xfId="0" applyNumberFormat="1" applyFont="1" applyFill="1" applyBorder="1" applyAlignment="1">
      <alignment vertical="center" wrapText="1"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17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172" fontId="19" fillId="0" borderId="10" xfId="0" applyNumberFormat="1" applyFont="1" applyFill="1" applyBorder="1" applyAlignment="1">
      <alignment horizontal="right" vertical="center" wrapText="1"/>
    </xf>
    <xf numFmtId="173" fontId="19" fillId="0" borderId="10" xfId="42" applyNumberFormat="1" applyFont="1" applyFill="1" applyBorder="1" applyAlignment="1">
      <alignment horizontal="center" vertical="center" wrapText="1"/>
    </xf>
    <xf numFmtId="173" fontId="19" fillId="0" borderId="10" xfId="42" applyNumberFormat="1" applyFont="1" applyFill="1" applyBorder="1" applyAlignment="1">
      <alignment horizontal="right" vertical="center" wrapText="1"/>
    </xf>
    <xf numFmtId="1" fontId="19" fillId="0" borderId="10" xfId="0" applyNumberFormat="1" applyFont="1" applyFill="1" applyBorder="1" applyAlignment="1">
      <alignment horizontal="right" vertical="center" wrapText="1"/>
    </xf>
    <xf numFmtId="173" fontId="18" fillId="0" borderId="10" xfId="42" applyNumberFormat="1" applyFont="1" applyFill="1" applyBorder="1" applyAlignment="1">
      <alignment horizontal="right" vertical="center" wrapText="1"/>
    </xf>
    <xf numFmtId="2" fontId="18" fillId="0" borderId="10" xfId="0" applyNumberFormat="1" applyFont="1" applyFill="1" applyBorder="1" applyAlignment="1">
      <alignment horizontal="right" vertical="center" wrapText="1"/>
    </xf>
    <xf numFmtId="174" fontId="23" fillId="0" borderId="0" xfId="0" applyNumberFormat="1" applyFont="1" applyFill="1" applyBorder="1" applyAlignment="1">
      <alignment vertical="center"/>
    </xf>
    <xf numFmtId="1" fontId="19" fillId="0" borderId="10" xfId="0" applyNumberFormat="1" applyFont="1" applyFill="1" applyBorder="1" applyAlignment="1">
      <alignment vertical="center" wrapText="1"/>
    </xf>
    <xf numFmtId="1" fontId="18" fillId="0" borderId="10" xfId="0" applyNumberFormat="1" applyFont="1" applyFill="1" applyBorder="1" applyAlignment="1">
      <alignment vertical="center" wrapText="1"/>
    </xf>
    <xf numFmtId="49" fontId="24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49" fontId="24" fillId="0" borderId="12" xfId="0" applyNumberFormat="1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72" fontId="25" fillId="24" borderId="0" xfId="0" applyNumberFormat="1" applyFont="1" applyFill="1" applyBorder="1" applyAlignment="1">
      <alignment vertical="center" wrapText="1"/>
    </xf>
    <xf numFmtId="0" fontId="19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center" vertical="center"/>
    </xf>
    <xf numFmtId="2" fontId="16" fillId="0" borderId="10" xfId="0" applyNumberFormat="1" applyFont="1" applyFill="1" applyBorder="1" applyAlignment="1">
      <alignment horizontal="center" vertical="center" wrapText="1"/>
    </xf>
    <xf numFmtId="43" fontId="16" fillId="0" borderId="10" xfId="0" applyNumberFormat="1" applyFont="1" applyFill="1" applyBorder="1" applyAlignment="1">
      <alignment horizontal="center" vertical="center" wrapText="1"/>
    </xf>
    <xf numFmtId="172" fontId="16" fillId="0" borderId="10" xfId="42" applyNumberFormat="1" applyFont="1" applyFill="1" applyBorder="1" applyAlignment="1">
      <alignment horizontal="right" vertical="center" wrapText="1"/>
    </xf>
    <xf numFmtId="173" fontId="16" fillId="0" borderId="10" xfId="42" applyNumberFormat="1" applyFont="1" applyFill="1" applyBorder="1" applyAlignment="1">
      <alignment horizontal="right" vertical="center" wrapText="1"/>
    </xf>
    <xf numFmtId="172" fontId="19" fillId="0" borderId="10" xfId="42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173" fontId="19" fillId="0" borderId="10" xfId="0" applyNumberFormat="1" applyFont="1" applyFill="1" applyBorder="1" applyAlignment="1">
      <alignment horizontal="right" vertical="center" wrapText="1"/>
    </xf>
    <xf numFmtId="172" fontId="19" fillId="0" borderId="10" xfId="42" applyNumberFormat="1" applyFont="1" applyFill="1" applyBorder="1" applyAlignment="1">
      <alignment horizontal="right" vertical="center" wrapText="1"/>
    </xf>
    <xf numFmtId="43" fontId="22" fillId="0" borderId="0" xfId="42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49" fontId="26" fillId="0" borderId="12" xfId="0" applyNumberFormat="1" applyFont="1" applyFill="1" applyBorder="1" applyAlignment="1">
      <alignment vertical="center"/>
    </xf>
    <xf numFmtId="0" fontId="26" fillId="0" borderId="13" xfId="0" applyFont="1" applyFill="1" applyBorder="1" applyAlignment="1">
      <alignment vertical="center"/>
    </xf>
    <xf numFmtId="43" fontId="15" fillId="0" borderId="10" xfId="44" applyFont="1" applyFill="1" applyBorder="1" applyAlignment="1">
      <alignment horizontal="right" vertical="center" wrapText="1"/>
    </xf>
    <xf numFmtId="0" fontId="15" fillId="0" borderId="14" xfId="0" applyFont="1" applyFill="1" applyBorder="1" applyAlignment="1">
      <alignment horizontal="center" vertical="center"/>
    </xf>
    <xf numFmtId="173" fontId="16" fillId="0" borderId="10" xfId="0" applyNumberFormat="1" applyFont="1" applyFill="1" applyBorder="1" applyAlignment="1">
      <alignment horizontal="center" vertical="center"/>
    </xf>
    <xf numFmtId="174" fontId="21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 wrapText="1"/>
    </xf>
    <xf numFmtId="43" fontId="28" fillId="0" borderId="10" xfId="0" applyNumberFormat="1" applyFont="1" applyFill="1" applyBorder="1" applyAlignment="1">
      <alignment vertical="center"/>
    </xf>
    <xf numFmtId="174" fontId="28" fillId="0" borderId="0" xfId="0" applyNumberFormat="1" applyFont="1" applyFill="1" applyBorder="1" applyAlignment="1">
      <alignment vertical="center"/>
    </xf>
    <xf numFmtId="43" fontId="19" fillId="0" borderId="10" xfId="44" applyNumberFormat="1" applyFont="1" applyFill="1" applyBorder="1" applyAlignment="1">
      <alignment horizontal="right" vertical="center" wrapText="1"/>
    </xf>
    <xf numFmtId="43" fontId="19" fillId="0" borderId="10" xfId="42" applyNumberFormat="1" applyFont="1" applyFill="1" applyBorder="1" applyAlignment="1">
      <alignment horizontal="right" vertical="center" wrapText="1"/>
    </xf>
    <xf numFmtId="2" fontId="19" fillId="0" borderId="10" xfId="42" applyNumberFormat="1" applyFont="1" applyFill="1" applyBorder="1" applyAlignment="1">
      <alignment horizontal="right" vertical="center" wrapText="1"/>
    </xf>
    <xf numFmtId="43" fontId="24" fillId="0" borderId="10" xfId="44" applyNumberFormat="1" applyFont="1" applyFill="1" applyBorder="1" applyAlignment="1">
      <alignment horizontal="right" vertical="center" wrapText="1"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16" fillId="0" borderId="10" xfId="0" applyFont="1" applyFill="1" applyBorder="1" applyAlignment="1">
      <alignment vertical="center"/>
    </xf>
    <xf numFmtId="172" fontId="21" fillId="0" borderId="10" xfId="0" applyNumberFormat="1" applyFont="1" applyFill="1" applyBorder="1" applyAlignment="1">
      <alignment vertical="center"/>
    </xf>
    <xf numFmtId="174" fontId="16" fillId="0" borderId="10" xfId="0" applyNumberFormat="1" applyFont="1" applyFill="1" applyBorder="1" applyAlignment="1">
      <alignment horizontal="center" vertical="center" wrapText="1"/>
    </xf>
    <xf numFmtId="0" fontId="21" fillId="25" borderId="0" xfId="0" applyFont="1" applyFill="1" applyBorder="1" applyAlignment="1">
      <alignment/>
    </xf>
    <xf numFmtId="0" fontId="21" fillId="25" borderId="0" xfId="0" applyFont="1" applyFill="1" applyAlignment="1">
      <alignment/>
    </xf>
    <xf numFmtId="0" fontId="16" fillId="0" borderId="14" xfId="0" applyFont="1" applyFill="1" applyBorder="1" applyAlignment="1">
      <alignment horizontal="center" vertical="center"/>
    </xf>
    <xf numFmtId="172" fontId="16" fillId="0" borderId="10" xfId="0" applyNumberFormat="1" applyFont="1" applyFill="1" applyBorder="1" applyAlignment="1">
      <alignment horizontal="center" vertical="center" wrapText="1"/>
    </xf>
    <xf numFmtId="174" fontId="19" fillId="0" borderId="10" xfId="0" applyNumberFormat="1" applyFont="1" applyFill="1" applyBorder="1" applyAlignment="1">
      <alignment horizontal="center" vertical="center" wrapText="1"/>
    </xf>
    <xf numFmtId="176" fontId="16" fillId="0" borderId="10" xfId="0" applyNumberFormat="1" applyFont="1" applyFill="1" applyBorder="1" applyAlignment="1">
      <alignment horizontal="right" vertical="center" wrapText="1"/>
    </xf>
    <xf numFmtId="176" fontId="16" fillId="0" borderId="10" xfId="0" applyNumberFormat="1" applyFont="1" applyFill="1" applyBorder="1" applyAlignment="1">
      <alignment horizontal="center" vertical="center" wrapText="1"/>
    </xf>
    <xf numFmtId="177" fontId="16" fillId="0" borderId="10" xfId="0" applyNumberFormat="1" applyFont="1" applyFill="1" applyBorder="1" applyAlignment="1">
      <alignment horizontal="right" vertical="center" wrapText="1"/>
    </xf>
    <xf numFmtId="172" fontId="16" fillId="0" borderId="0" xfId="0" applyNumberFormat="1" applyFont="1" applyFill="1" applyBorder="1" applyAlignment="1">
      <alignment vertical="center" wrapText="1"/>
    </xf>
    <xf numFmtId="0" fontId="18" fillId="0" borderId="15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horizontal="left" vertical="center"/>
    </xf>
    <xf numFmtId="172" fontId="23" fillId="0" borderId="10" xfId="0" applyNumberFormat="1" applyFont="1" applyFill="1" applyBorder="1" applyAlignment="1">
      <alignment vertical="center"/>
    </xf>
    <xf numFmtId="176" fontId="19" fillId="0" borderId="10" xfId="0" applyNumberFormat="1" applyFont="1" applyFill="1" applyBorder="1" applyAlignment="1">
      <alignment horizontal="center" vertical="center" wrapText="1"/>
    </xf>
    <xf numFmtId="174" fontId="15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19" fillId="0" borderId="10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left" vertical="center"/>
    </xf>
    <xf numFmtId="0" fontId="19" fillId="0" borderId="13" xfId="0" applyFont="1" applyFill="1" applyBorder="1" applyAlignment="1">
      <alignment horizontal="left" vertical="center"/>
    </xf>
    <xf numFmtId="174" fontId="19" fillId="0" borderId="10" xfId="0" applyNumberFormat="1" applyFont="1" applyFill="1" applyBorder="1" applyAlignment="1">
      <alignment horizontal="right" vertical="center" wrapText="1"/>
    </xf>
    <xf numFmtId="43" fontId="23" fillId="0" borderId="10" xfId="0" applyNumberFormat="1" applyFont="1" applyFill="1" applyBorder="1" applyAlignment="1">
      <alignment vertical="center"/>
    </xf>
    <xf numFmtId="177" fontId="19" fillId="0" borderId="10" xfId="0" applyNumberFormat="1" applyFont="1" applyFill="1" applyBorder="1" applyAlignment="1">
      <alignment horizontal="right" vertical="center" wrapText="1"/>
    </xf>
    <xf numFmtId="178" fontId="22" fillId="0" borderId="0" xfId="0" applyNumberFormat="1" applyFont="1" applyFill="1" applyBorder="1" applyAlignment="1">
      <alignment vertical="center"/>
    </xf>
    <xf numFmtId="179" fontId="19" fillId="0" borderId="0" xfId="0" applyNumberFormat="1" applyFont="1" applyFill="1" applyBorder="1" applyAlignment="1">
      <alignment vertical="center" wrapText="1"/>
    </xf>
    <xf numFmtId="3" fontId="19" fillId="0" borderId="10" xfId="0" applyNumberFormat="1" applyFont="1" applyFill="1" applyBorder="1" applyAlignment="1">
      <alignment horizontal="right" vertical="center" wrapText="1"/>
    </xf>
    <xf numFmtId="176" fontId="21" fillId="0" borderId="10" xfId="0" applyNumberFormat="1" applyFont="1" applyFill="1" applyBorder="1" applyAlignment="1">
      <alignment vertical="center"/>
    </xf>
    <xf numFmtId="174" fontId="16" fillId="0" borderId="10" xfId="0" applyNumberFormat="1" applyFont="1" applyFill="1" applyBorder="1" applyAlignment="1">
      <alignment horizontal="right" vertical="center" wrapText="1"/>
    </xf>
    <xf numFmtId="176" fontId="23" fillId="0" borderId="10" xfId="0" applyNumberFormat="1" applyFont="1" applyFill="1" applyBorder="1" applyAlignment="1">
      <alignment vertical="center"/>
    </xf>
    <xf numFmtId="172" fontId="19" fillId="24" borderId="0" xfId="0" applyNumberFormat="1" applyFont="1" applyFill="1" applyBorder="1" applyAlignment="1">
      <alignment vertical="center" wrapText="1"/>
    </xf>
    <xf numFmtId="174" fontId="18" fillId="0" borderId="10" xfId="0" applyNumberFormat="1" applyFont="1" applyFill="1" applyBorder="1" applyAlignment="1">
      <alignment horizontal="right" vertical="center" wrapText="1"/>
    </xf>
    <xf numFmtId="174" fontId="18" fillId="0" borderId="10" xfId="0" applyNumberFormat="1" applyFont="1" applyFill="1" applyBorder="1" applyAlignment="1">
      <alignment horizontal="center" vertical="center" wrapText="1"/>
    </xf>
    <xf numFmtId="172" fontId="19" fillId="0" borderId="0" xfId="0" applyNumberFormat="1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center" vertical="center"/>
    </xf>
    <xf numFmtId="2" fontId="23" fillId="0" borderId="10" xfId="0" applyNumberFormat="1" applyFont="1" applyFill="1" applyBorder="1" applyAlignment="1">
      <alignment vertical="center"/>
    </xf>
    <xf numFmtId="172" fontId="19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right" vertical="center" wrapText="1"/>
    </xf>
    <xf numFmtId="43" fontId="19" fillId="0" borderId="0" xfId="0" applyNumberFormat="1" applyFont="1" applyFill="1" applyBorder="1" applyAlignment="1">
      <alignment horizontal="left" vertical="center" wrapText="1"/>
    </xf>
    <xf numFmtId="173" fontId="23" fillId="0" borderId="10" xfId="0" applyNumberFormat="1" applyFont="1" applyFill="1" applyBorder="1" applyAlignment="1">
      <alignment vertical="center"/>
    </xf>
    <xf numFmtId="0" fontId="15" fillId="0" borderId="12" xfId="0" applyFont="1" applyFill="1" applyBorder="1" applyAlignment="1">
      <alignment horizontal="left" vertical="center"/>
    </xf>
    <xf numFmtId="0" fontId="15" fillId="0" borderId="13" xfId="0" applyFont="1" applyFill="1" applyBorder="1" applyAlignment="1">
      <alignment horizontal="left" vertical="center"/>
    </xf>
    <xf numFmtId="1" fontId="18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vertical="center"/>
    </xf>
    <xf numFmtId="43" fontId="19" fillId="0" borderId="10" xfId="0" applyNumberFormat="1" applyFont="1" applyFill="1" applyBorder="1" applyAlignment="1">
      <alignment horizontal="center" vertical="center" wrapText="1"/>
    </xf>
    <xf numFmtId="174" fontId="15" fillId="0" borderId="10" xfId="0" applyNumberFormat="1" applyFont="1" applyFill="1" applyBorder="1" applyAlignment="1">
      <alignment horizontal="right" vertical="center" wrapText="1"/>
    </xf>
    <xf numFmtId="173" fontId="19" fillId="0" borderId="10" xfId="0" applyNumberFormat="1" applyFont="1" applyFill="1" applyBorder="1" applyAlignment="1">
      <alignment vertical="center"/>
    </xf>
    <xf numFmtId="43" fontId="19" fillId="0" borderId="10" xfId="0" applyNumberFormat="1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43" fontId="18" fillId="0" borderId="10" xfId="0" applyNumberFormat="1" applyFont="1" applyFill="1" applyBorder="1" applyAlignment="1">
      <alignment vertical="center"/>
    </xf>
    <xf numFmtId="172" fontId="18" fillId="0" borderId="10" xfId="42" applyNumberFormat="1" applyFont="1" applyFill="1" applyBorder="1" applyAlignment="1">
      <alignment horizontal="right" vertical="center" wrapText="1"/>
    </xf>
    <xf numFmtId="49" fontId="15" fillId="0" borderId="12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left" vertical="center"/>
    </xf>
    <xf numFmtId="43" fontId="19" fillId="0" borderId="14" xfId="0" applyNumberFormat="1" applyFont="1" applyFill="1" applyBorder="1" applyAlignment="1">
      <alignment horizontal="center" vertical="center" wrapText="1"/>
    </xf>
    <xf numFmtId="174" fontId="19" fillId="0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172" fontId="19" fillId="0" borderId="10" xfId="0" applyNumberFormat="1" applyFont="1" applyFill="1" applyBorder="1" applyAlignment="1">
      <alignment vertical="center"/>
    </xf>
    <xf numFmtId="173" fontId="19" fillId="0" borderId="10" xfId="44" applyNumberFormat="1" applyFont="1" applyFill="1" applyBorder="1" applyAlignment="1">
      <alignment vertical="center"/>
    </xf>
    <xf numFmtId="43" fontId="19" fillId="0" borderId="10" xfId="44" applyFont="1" applyFill="1" applyBorder="1" applyAlignment="1">
      <alignment horizontal="center" vertical="center"/>
    </xf>
    <xf numFmtId="174" fontId="19" fillId="25" borderId="10" xfId="0" applyNumberFormat="1" applyFont="1" applyFill="1" applyBorder="1" applyAlignment="1">
      <alignment horizontal="right" vertical="center" wrapText="1"/>
    </xf>
    <xf numFmtId="178" fontId="23" fillId="0" borderId="0" xfId="0" applyNumberFormat="1" applyFont="1" applyFill="1" applyBorder="1" applyAlignment="1">
      <alignment vertical="center"/>
    </xf>
    <xf numFmtId="179" fontId="19" fillId="25" borderId="0" xfId="0" applyNumberFormat="1" applyFont="1" applyFill="1" applyBorder="1" applyAlignment="1">
      <alignment vertical="center" wrapText="1"/>
    </xf>
    <xf numFmtId="0" fontId="18" fillId="0" borderId="13" xfId="0" applyFont="1" applyFill="1" applyBorder="1" applyAlignment="1">
      <alignment horizontal="center" vertical="center"/>
    </xf>
    <xf numFmtId="174" fontId="19" fillId="0" borderId="10" xfId="0" applyNumberFormat="1" applyFont="1" applyFill="1" applyBorder="1" applyAlignment="1">
      <alignment vertical="center"/>
    </xf>
    <xf numFmtId="2" fontId="19" fillId="0" borderId="10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/>
    </xf>
    <xf numFmtId="43" fontId="31" fillId="0" borderId="10" xfId="0" applyNumberFormat="1" applyFont="1" applyFill="1" applyBorder="1" applyAlignment="1">
      <alignment vertical="center"/>
    </xf>
    <xf numFmtId="172" fontId="19" fillId="0" borderId="14" xfId="0" applyNumberFormat="1" applyFont="1" applyFill="1" applyBorder="1" applyAlignment="1">
      <alignment horizontal="center" vertical="center" wrapText="1"/>
    </xf>
    <xf numFmtId="174" fontId="18" fillId="25" borderId="14" xfId="0" applyNumberFormat="1" applyFont="1" applyFill="1" applyBorder="1" applyAlignment="1">
      <alignment horizontal="right" vertical="center" wrapText="1"/>
    </xf>
    <xf numFmtId="174" fontId="18" fillId="0" borderId="14" xfId="0" applyNumberFormat="1" applyFont="1" applyFill="1" applyBorder="1" applyAlignment="1">
      <alignment horizontal="right" vertical="center" wrapText="1"/>
    </xf>
    <xf numFmtId="2" fontId="18" fillId="25" borderId="14" xfId="0" applyNumberFormat="1" applyFont="1" applyFill="1" applyBorder="1" applyAlignment="1">
      <alignment horizontal="right" vertical="center" wrapText="1"/>
    </xf>
    <xf numFmtId="1" fontId="18" fillId="0" borderId="14" xfId="0" applyNumberFormat="1" applyFont="1" applyFill="1" applyBorder="1" applyAlignment="1">
      <alignment horizontal="right" vertical="center" wrapText="1"/>
    </xf>
    <xf numFmtId="2" fontId="18" fillId="0" borderId="14" xfId="0" applyNumberFormat="1" applyFont="1" applyFill="1" applyBorder="1" applyAlignment="1">
      <alignment horizontal="right" vertical="center" wrapText="1"/>
    </xf>
    <xf numFmtId="1" fontId="18" fillId="25" borderId="14" xfId="0" applyNumberFormat="1" applyFont="1" applyFill="1" applyBorder="1" applyAlignment="1">
      <alignment horizontal="right" vertical="center" wrapText="1"/>
    </xf>
    <xf numFmtId="173" fontId="19" fillId="0" borderId="10" xfId="44" applyNumberFormat="1" applyFont="1" applyFill="1" applyBorder="1" applyAlignment="1">
      <alignment horizontal="center" vertical="center" wrapText="1"/>
    </xf>
    <xf numFmtId="173" fontId="18" fillId="0" borderId="10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center" vertical="center" wrapText="1"/>
    </xf>
    <xf numFmtId="173" fontId="19" fillId="0" borderId="10" xfId="0" applyNumberFormat="1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right" vertical="center" wrapText="1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34" fillId="0" borderId="16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/>
    </xf>
    <xf numFmtId="0" fontId="32" fillId="0" borderId="10" xfId="0" applyNumberFormat="1" applyFont="1" applyBorder="1" applyAlignment="1">
      <alignment horizontal="center"/>
    </xf>
    <xf numFmtId="0" fontId="32" fillId="0" borderId="10" xfId="0" applyNumberFormat="1" applyFont="1" applyBorder="1" applyAlignment="1">
      <alignment horizontal="center" wrapText="1"/>
    </xf>
    <xf numFmtId="0" fontId="36" fillId="0" borderId="10" xfId="0" applyFont="1" applyBorder="1" applyAlignment="1">
      <alignment/>
    </xf>
    <xf numFmtId="0" fontId="0" fillId="0" borderId="10" xfId="0" applyBorder="1" applyAlignment="1">
      <alignment/>
    </xf>
    <xf numFmtId="0" fontId="37" fillId="0" borderId="10" xfId="0" applyFont="1" applyBorder="1" applyAlignment="1">
      <alignment horizontal="center"/>
    </xf>
    <xf numFmtId="0" fontId="32" fillId="0" borderId="10" xfId="0" applyNumberFormat="1" applyFont="1" applyBorder="1" applyAlignment="1">
      <alignment horizontal="left"/>
    </xf>
    <xf numFmtId="173" fontId="34" fillId="0" borderId="10" xfId="0" applyNumberFormat="1" applyFont="1" applyBorder="1" applyAlignment="1">
      <alignment/>
    </xf>
    <xf numFmtId="172" fontId="34" fillId="0" borderId="10" xfId="0" applyNumberFormat="1" applyFont="1" applyBorder="1" applyAlignment="1">
      <alignment/>
    </xf>
    <xf numFmtId="173" fontId="32" fillId="0" borderId="10" xfId="44" applyNumberFormat="1" applyFont="1" applyBorder="1" applyAlignment="1">
      <alignment/>
    </xf>
    <xf numFmtId="172" fontId="32" fillId="0" borderId="10" xfId="44" applyNumberFormat="1" applyFont="1" applyBorder="1" applyAlignment="1">
      <alignment/>
    </xf>
    <xf numFmtId="0" fontId="14" fillId="0" borderId="10" xfId="0" applyNumberFormat="1" applyFont="1" applyBorder="1" applyAlignment="1">
      <alignment horizontal="left"/>
    </xf>
    <xf numFmtId="0" fontId="14" fillId="0" borderId="10" xfId="0" applyNumberFormat="1" applyFont="1" applyBorder="1" applyAlignment="1">
      <alignment horizontal="center"/>
    </xf>
    <xf numFmtId="172" fontId="14" fillId="0" borderId="10" xfId="44" applyNumberFormat="1" applyFont="1" applyBorder="1" applyAlignment="1">
      <alignment/>
    </xf>
    <xf numFmtId="173" fontId="37" fillId="0" borderId="10" xfId="0" applyNumberFormat="1" applyFont="1" applyBorder="1" applyAlignment="1">
      <alignment/>
    </xf>
    <xf numFmtId="172" fontId="37" fillId="0" borderId="10" xfId="0" applyNumberFormat="1" applyFont="1" applyBorder="1" applyAlignment="1">
      <alignment/>
    </xf>
    <xf numFmtId="173" fontId="14" fillId="0" borderId="10" xfId="44" applyNumberFormat="1" applyFont="1" applyBorder="1" applyAlignment="1">
      <alignment/>
    </xf>
    <xf numFmtId="180" fontId="0" fillId="0" borderId="0" xfId="0" applyNumberFormat="1" applyAlignment="1">
      <alignment/>
    </xf>
    <xf numFmtId="3" fontId="37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173" fontId="14" fillId="0" borderId="10" xfId="44" applyNumberFormat="1" applyFont="1" applyBorder="1" applyAlignment="1">
      <alignment horizontal="right"/>
    </xf>
    <xf numFmtId="0" fontId="14" fillId="0" borderId="10" xfId="0" applyNumberFormat="1" applyFont="1" applyFill="1" applyBorder="1" applyAlignment="1">
      <alignment horizontal="center"/>
    </xf>
    <xf numFmtId="0" fontId="32" fillId="0" borderId="10" xfId="0" applyNumberFormat="1" applyFont="1" applyBorder="1" applyAlignment="1">
      <alignment horizontal="left" wrapText="1"/>
    </xf>
    <xf numFmtId="3" fontId="34" fillId="0" borderId="10" xfId="0" applyNumberFormat="1" applyFont="1" applyBorder="1" applyAlignment="1">
      <alignment/>
    </xf>
    <xf numFmtId="0" fontId="37" fillId="0" borderId="10" xfId="0" applyFont="1" applyBorder="1" applyAlignment="1">
      <alignment/>
    </xf>
    <xf numFmtId="3" fontId="32" fillId="0" borderId="10" xfId="0" applyNumberFormat="1" applyFont="1" applyBorder="1" applyAlignment="1">
      <alignment/>
    </xf>
    <xf numFmtId="181" fontId="37" fillId="0" borderId="10" xfId="0" applyNumberFormat="1" applyFont="1" applyBorder="1" applyAlignment="1">
      <alignment/>
    </xf>
    <xf numFmtId="3" fontId="14" fillId="0" borderId="10" xfId="0" applyNumberFormat="1" applyFont="1" applyBorder="1" applyAlignment="1">
      <alignment/>
    </xf>
    <xf numFmtId="3" fontId="32" fillId="0" borderId="10" xfId="0" applyNumberFormat="1" applyFont="1" applyBorder="1" applyAlignment="1">
      <alignment horizontal="center"/>
    </xf>
    <xf numFmtId="173" fontId="32" fillId="0" borderId="10" xfId="44" applyNumberFormat="1" applyFont="1" applyBorder="1" applyAlignment="1">
      <alignment horizontal="right"/>
    </xf>
    <xf numFmtId="3" fontId="14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left"/>
    </xf>
    <xf numFmtId="0" fontId="8" fillId="0" borderId="10" xfId="0" applyNumberFormat="1" applyFont="1" applyBorder="1" applyAlignment="1">
      <alignment horizontal="left" wrapText="1"/>
    </xf>
    <xf numFmtId="0" fontId="34" fillId="0" borderId="10" xfId="0" applyFont="1" applyBorder="1" applyAlignment="1">
      <alignment/>
    </xf>
    <xf numFmtId="0" fontId="32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horizontal="left" wrapText="1"/>
    </xf>
    <xf numFmtId="0" fontId="32" fillId="0" borderId="10" xfId="0" applyFont="1" applyBorder="1" applyAlignment="1">
      <alignment horizontal="center"/>
    </xf>
    <xf numFmtId="3" fontId="32" fillId="0" borderId="10" xfId="0" applyNumberFormat="1" applyFont="1" applyBorder="1" applyAlignment="1">
      <alignment horizontal="right"/>
    </xf>
    <xf numFmtId="0" fontId="14" fillId="0" borderId="10" xfId="0" applyFont="1" applyBorder="1" applyAlignment="1">
      <alignment horizontal="center"/>
    </xf>
    <xf numFmtId="0" fontId="14" fillId="0" borderId="10" xfId="57" applyFont="1" applyBorder="1" applyAlignment="1">
      <alignment wrapText="1"/>
      <protection/>
    </xf>
    <xf numFmtId="3" fontId="14" fillId="0" borderId="10" xfId="0" applyNumberFormat="1" applyFont="1" applyBorder="1" applyAlignment="1">
      <alignment horizontal="right"/>
    </xf>
    <xf numFmtId="181" fontId="14" fillId="0" borderId="10" xfId="0" applyNumberFormat="1" applyFont="1" applyBorder="1" applyAlignment="1">
      <alignment horizontal="right"/>
    </xf>
    <xf numFmtId="0" fontId="14" fillId="0" borderId="10" xfId="57" applyFont="1" applyBorder="1" applyAlignment="1">
      <alignment/>
      <protection/>
    </xf>
    <xf numFmtId="0" fontId="14" fillId="0" borderId="10" xfId="0" applyFont="1" applyBorder="1" applyAlignment="1">
      <alignment/>
    </xf>
    <xf numFmtId="0" fontId="0" fillId="0" borderId="17" xfId="0" applyBorder="1" applyAlignment="1">
      <alignment/>
    </xf>
    <xf numFmtId="3" fontId="14" fillId="0" borderId="17" xfId="0" applyNumberFormat="1" applyFont="1" applyFill="1" applyBorder="1" applyAlignment="1">
      <alignment horizontal="right"/>
    </xf>
    <xf numFmtId="0" fontId="38" fillId="0" borderId="0" xfId="0" applyFont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 wrapText="1"/>
    </xf>
    <xf numFmtId="0" fontId="38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10" xfId="56" applyFont="1" applyFill="1" applyBorder="1" applyAlignment="1">
      <alignment horizontal="center" vertical="center" wrapText="1"/>
      <protection/>
    </xf>
    <xf numFmtId="0" fontId="16" fillId="0" borderId="10" xfId="56" applyFont="1" applyFill="1" applyBorder="1" applyAlignment="1">
      <alignment horizontal="left" vertical="center" wrapText="1"/>
      <protection/>
    </xf>
    <xf numFmtId="0" fontId="38" fillId="0" borderId="10" xfId="0" applyFont="1" applyBorder="1" applyAlignment="1">
      <alignment vertical="center"/>
    </xf>
    <xf numFmtId="0" fontId="38" fillId="0" borderId="10" xfId="56" applyFont="1" applyFill="1" applyBorder="1" applyAlignment="1">
      <alignment horizontal="center" vertical="center" wrapText="1"/>
      <protection/>
    </xf>
    <xf numFmtId="0" fontId="38" fillId="0" borderId="10" xfId="56" applyFont="1" applyFill="1" applyBorder="1" applyAlignment="1">
      <alignment vertical="center" wrapText="1"/>
      <protection/>
    </xf>
    <xf numFmtId="0" fontId="24" fillId="0" borderId="10" xfId="0" applyFont="1" applyBorder="1" applyAlignment="1">
      <alignment vertical="center"/>
    </xf>
    <xf numFmtId="9" fontId="24" fillId="0" borderId="10" xfId="6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10" xfId="56" applyFont="1" applyFill="1" applyBorder="1" applyAlignment="1">
      <alignment vertical="center" wrapText="1"/>
      <protection/>
    </xf>
    <xf numFmtId="0" fontId="38" fillId="0" borderId="10" xfId="56" applyFont="1" applyFill="1" applyBorder="1" applyAlignment="1" quotePrefix="1">
      <alignment horizontal="center" vertical="center" wrapText="1"/>
      <protection/>
    </xf>
    <xf numFmtId="173" fontId="24" fillId="0" borderId="10" xfId="44" applyNumberFormat="1" applyFont="1" applyBorder="1" applyAlignment="1">
      <alignment vertical="center"/>
    </xf>
    <xf numFmtId="173" fontId="38" fillId="0" borderId="10" xfId="44" applyNumberFormat="1" applyFont="1" applyBorder="1" applyAlignment="1">
      <alignment vertical="center"/>
    </xf>
    <xf numFmtId="173" fontId="24" fillId="0" borderId="10" xfId="0" applyNumberFormat="1" applyFont="1" applyBorder="1" applyAlignment="1">
      <alignment vertical="center"/>
    </xf>
    <xf numFmtId="0" fontId="38" fillId="0" borderId="10" xfId="56" applyFont="1" applyFill="1" applyBorder="1" applyAlignment="1">
      <alignment horizontal="left" vertical="center" wrapText="1"/>
      <protection/>
    </xf>
    <xf numFmtId="0" fontId="38" fillId="0" borderId="18" xfId="56" applyFont="1" applyFill="1" applyBorder="1" applyAlignment="1">
      <alignment horizontal="center" vertical="center" wrapText="1"/>
      <protection/>
    </xf>
    <xf numFmtId="0" fontId="38" fillId="0" borderId="13" xfId="56" applyFont="1" applyFill="1" applyBorder="1" applyAlignment="1">
      <alignment horizontal="center" vertical="center" wrapText="1"/>
      <protection/>
    </xf>
    <xf numFmtId="0" fontId="38" fillId="0" borderId="10" xfId="56" applyFont="1" applyFill="1" applyBorder="1" applyAlignment="1" quotePrefix="1">
      <alignment vertical="center" wrapText="1"/>
      <protection/>
    </xf>
    <xf numFmtId="0" fontId="38" fillId="0" borderId="19" xfId="0" applyFont="1" applyBorder="1" applyAlignment="1">
      <alignment vertical="center"/>
    </xf>
    <xf numFmtId="9" fontId="34" fillId="0" borderId="10" xfId="60" applyFont="1" applyBorder="1" applyAlignment="1">
      <alignment/>
    </xf>
    <xf numFmtId="9" fontId="37" fillId="0" borderId="10" xfId="60" applyFont="1" applyBorder="1" applyAlignment="1">
      <alignment/>
    </xf>
    <xf numFmtId="2" fontId="16" fillId="0" borderId="0" xfId="0" applyNumberFormat="1" applyFont="1" applyFill="1" applyBorder="1" applyAlignment="1">
      <alignment vertical="center"/>
    </xf>
    <xf numFmtId="173" fontId="25" fillId="24" borderId="10" xfId="42" applyNumberFormat="1" applyFont="1" applyFill="1" applyBorder="1" applyAlignment="1">
      <alignment horizontal="right" vertical="center" wrapText="1"/>
    </xf>
    <xf numFmtId="177" fontId="16" fillId="24" borderId="10" xfId="0" applyNumberFormat="1" applyFont="1" applyFill="1" applyBorder="1" applyAlignment="1">
      <alignment horizontal="right" vertical="center" wrapText="1"/>
    </xf>
    <xf numFmtId="2" fontId="16" fillId="24" borderId="10" xfId="0" applyNumberFormat="1" applyFont="1" applyFill="1" applyBorder="1" applyAlignment="1">
      <alignment horizontal="right" vertical="center" wrapText="1"/>
    </xf>
    <xf numFmtId="43" fontId="19" fillId="24" borderId="10" xfId="42" applyNumberFormat="1" applyFont="1" applyFill="1" applyBorder="1" applyAlignment="1">
      <alignment horizontal="right" vertical="center" wrapText="1"/>
    </xf>
    <xf numFmtId="173" fontId="19" fillId="24" borderId="10" xfId="42" applyNumberFormat="1" applyFont="1" applyFill="1" applyBorder="1" applyAlignment="1">
      <alignment horizontal="right" vertical="center" wrapText="1"/>
    </xf>
    <xf numFmtId="174" fontId="19" fillId="24" borderId="10" xfId="0" applyNumberFormat="1" applyFont="1" applyFill="1" applyBorder="1" applyAlignment="1">
      <alignment horizontal="right" vertical="center" wrapText="1"/>
    </xf>
    <xf numFmtId="177" fontId="19" fillId="24" borderId="10" xfId="0" applyNumberFormat="1" applyFont="1" applyFill="1" applyBorder="1" applyAlignment="1">
      <alignment horizontal="right" vertical="center" wrapText="1"/>
    </xf>
    <xf numFmtId="0" fontId="35" fillId="0" borderId="14" xfId="0" applyFont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right" vertical="center" wrapText="1"/>
    </xf>
    <xf numFmtId="0" fontId="35" fillId="0" borderId="0" xfId="0" applyFont="1" applyAlignment="1">
      <alignment vertical="center" wrapText="1"/>
    </xf>
    <xf numFmtId="0" fontId="38" fillId="0" borderId="10" xfId="56" applyFont="1" applyFill="1" applyBorder="1" applyAlignment="1">
      <alignment horizontal="center" vertical="center" wrapText="1"/>
      <protection/>
    </xf>
    <xf numFmtId="0" fontId="38" fillId="0" borderId="10" xfId="56" applyFont="1" applyFill="1" applyBorder="1" applyAlignment="1">
      <alignment vertical="center" wrapText="1"/>
      <protection/>
    </xf>
    <xf numFmtId="0" fontId="38" fillId="0" borderId="10" xfId="0" applyFont="1" applyBorder="1" applyAlignment="1">
      <alignment vertical="center"/>
    </xf>
    <xf numFmtId="2" fontId="19" fillId="0" borderId="0" xfId="0" applyNumberFormat="1" applyFont="1" applyFill="1" applyBorder="1" applyAlignment="1">
      <alignment vertical="center" wrapText="1"/>
    </xf>
    <xf numFmtId="0" fontId="15" fillId="0" borderId="11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/>
    </xf>
    <xf numFmtId="49" fontId="18" fillId="0" borderId="10" xfId="0" applyNumberFormat="1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/>
    </xf>
    <xf numFmtId="43" fontId="19" fillId="0" borderId="14" xfId="42" applyNumberFormat="1" applyFont="1" applyFill="1" applyBorder="1" applyAlignment="1">
      <alignment horizontal="center" vertical="center" wrapText="1"/>
    </xf>
    <xf numFmtId="43" fontId="19" fillId="0" borderId="16" xfId="42" applyNumberFormat="1" applyFont="1" applyFill="1" applyBorder="1" applyAlignment="1">
      <alignment horizontal="center" vertical="center" wrapText="1"/>
    </xf>
    <xf numFmtId="43" fontId="19" fillId="0" borderId="11" xfId="42" applyNumberFormat="1" applyFont="1" applyFill="1" applyBorder="1" applyAlignment="1">
      <alignment horizontal="center" vertical="center" wrapText="1"/>
    </xf>
    <xf numFmtId="0" fontId="15" fillId="0" borderId="12" xfId="0" applyNumberFormat="1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/>
    </xf>
    <xf numFmtId="0" fontId="19" fillId="0" borderId="13" xfId="0" applyFont="1" applyFill="1" applyBorder="1" applyAlignment="1">
      <alignment horizontal="left" vertical="center"/>
    </xf>
    <xf numFmtId="0" fontId="16" fillId="0" borderId="15" xfId="0" applyFont="1" applyFill="1" applyBorder="1" applyAlignment="1">
      <alignment horizontal="left" vertical="center"/>
    </xf>
    <xf numFmtId="0" fontId="16" fillId="0" borderId="13" xfId="0" applyFont="1" applyFill="1" applyBorder="1" applyAlignment="1">
      <alignment horizontal="left" vertical="center"/>
    </xf>
    <xf numFmtId="0" fontId="16" fillId="0" borderId="12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/>
    </xf>
    <xf numFmtId="174" fontId="18" fillId="0" borderId="14" xfId="0" applyNumberFormat="1" applyFont="1" applyFill="1" applyBorder="1" applyAlignment="1">
      <alignment horizontal="center" vertical="center" wrapText="1"/>
    </xf>
    <xf numFmtId="174" fontId="18" fillId="0" borderId="16" xfId="0" applyNumberFormat="1" applyFont="1" applyFill="1" applyBorder="1" applyAlignment="1">
      <alignment horizontal="center" vertical="center" wrapText="1"/>
    </xf>
    <xf numFmtId="174" fontId="18" fillId="0" borderId="11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/>
    </xf>
    <xf numFmtId="43" fontId="22" fillId="24" borderId="18" xfId="42" applyFont="1" applyFill="1" applyBorder="1" applyAlignment="1">
      <alignment horizontal="center" vertical="center"/>
    </xf>
    <xf numFmtId="43" fontId="22" fillId="24" borderId="0" xfId="42" applyFont="1" applyFill="1" applyBorder="1" applyAlignment="1">
      <alignment horizontal="center" vertical="center"/>
    </xf>
    <xf numFmtId="174" fontId="22" fillId="24" borderId="18" xfId="0" applyNumberFormat="1" applyFont="1" applyFill="1" applyBorder="1" applyAlignment="1">
      <alignment horizontal="center" vertical="center"/>
    </xf>
    <xf numFmtId="174" fontId="22" fillId="24" borderId="0" xfId="0" applyNumberFormat="1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/>
    </xf>
    <xf numFmtId="0" fontId="15" fillId="0" borderId="15" xfId="0" applyFont="1" applyFill="1" applyBorder="1" applyAlignment="1">
      <alignment horizontal="left" vertical="center"/>
    </xf>
    <xf numFmtId="0" fontId="15" fillId="0" borderId="13" xfId="0" applyFont="1" applyFill="1" applyBorder="1" applyAlignment="1">
      <alignment horizontal="left" vertical="center"/>
    </xf>
    <xf numFmtId="173" fontId="18" fillId="0" borderId="14" xfId="42" applyNumberFormat="1" applyFont="1" applyFill="1" applyBorder="1" applyAlignment="1">
      <alignment horizontal="center" vertical="center" wrapText="1"/>
    </xf>
    <xf numFmtId="173" fontId="18" fillId="0" borderId="16" xfId="42" applyNumberFormat="1" applyFont="1" applyFill="1" applyBorder="1" applyAlignment="1">
      <alignment horizontal="center" vertical="center" wrapText="1"/>
    </xf>
    <xf numFmtId="173" fontId="18" fillId="0" borderId="11" xfId="42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172" fontId="16" fillId="24" borderId="0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/>
    </xf>
    <xf numFmtId="0" fontId="15" fillId="0" borderId="15" xfId="0" applyNumberFormat="1" applyFont="1" applyFill="1" applyBorder="1" applyAlignment="1">
      <alignment horizontal="center" vertical="center"/>
    </xf>
    <xf numFmtId="0" fontId="15" fillId="0" borderId="13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top"/>
    </xf>
    <xf numFmtId="0" fontId="15" fillId="0" borderId="10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 wrapText="1"/>
    </xf>
    <xf numFmtId="43" fontId="15" fillId="0" borderId="10" xfId="0" applyNumberFormat="1" applyFont="1" applyFill="1" applyBorder="1" applyAlignment="1">
      <alignment horizontal="center" vertical="center" wrapText="1"/>
    </xf>
    <xf numFmtId="43" fontId="15" fillId="0" borderId="14" xfId="0" applyNumberFormat="1" applyFont="1" applyFill="1" applyBorder="1" applyAlignment="1">
      <alignment horizontal="center" vertical="center" wrapText="1"/>
    </xf>
    <xf numFmtId="43" fontId="15" fillId="0" borderId="11" xfId="0" applyNumberFormat="1" applyFont="1" applyFill="1" applyBorder="1" applyAlignment="1">
      <alignment horizontal="center" vertical="center" wrapText="1"/>
    </xf>
    <xf numFmtId="43" fontId="15" fillId="0" borderId="12" xfId="0" applyNumberFormat="1" applyFont="1" applyFill="1" applyBorder="1" applyAlignment="1">
      <alignment horizontal="center" vertical="center" wrapText="1"/>
    </xf>
    <xf numFmtId="43" fontId="15" fillId="0" borderId="15" xfId="0" applyNumberFormat="1" applyFont="1" applyFill="1" applyBorder="1" applyAlignment="1">
      <alignment horizontal="center" vertical="center" wrapText="1"/>
    </xf>
    <xf numFmtId="43" fontId="15" fillId="0" borderId="13" xfId="0" applyNumberFormat="1" applyFont="1" applyFill="1" applyBorder="1" applyAlignment="1">
      <alignment horizontal="center" vertical="center" wrapText="1"/>
    </xf>
    <xf numFmtId="9" fontId="15" fillId="0" borderId="10" xfId="6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3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14" fillId="0" borderId="10" xfId="0" applyNumberFormat="1" applyFont="1" applyBorder="1" applyAlignment="1">
      <alignment horizontal="left" wrapText="1"/>
    </xf>
    <xf numFmtId="0" fontId="34" fillId="0" borderId="10" xfId="0" applyFont="1" applyBorder="1" applyAlignment="1">
      <alignment horizontal="center"/>
    </xf>
    <xf numFmtId="0" fontId="32" fillId="0" borderId="10" xfId="0" applyNumberFormat="1" applyFont="1" applyBorder="1" applyAlignment="1">
      <alignment horizontal="left" wrapText="1"/>
    </xf>
    <xf numFmtId="0" fontId="32" fillId="0" borderId="10" xfId="0" applyNumberFormat="1" applyFont="1" applyBorder="1" applyAlignment="1">
      <alignment horizontal="left"/>
    </xf>
    <xf numFmtId="0" fontId="14" fillId="0" borderId="10" xfId="0" applyNumberFormat="1" applyFont="1" applyBorder="1" applyAlignment="1">
      <alignment horizontal="left"/>
    </xf>
    <xf numFmtId="0" fontId="14" fillId="0" borderId="10" xfId="0" applyNumberFormat="1" applyFont="1" applyFill="1" applyBorder="1" applyAlignment="1">
      <alignment horizontal="left"/>
    </xf>
    <xf numFmtId="0" fontId="32" fillId="0" borderId="10" xfId="0" applyNumberFormat="1" applyFont="1" applyBorder="1" applyAlignment="1">
      <alignment horizontal="center" vertical="center" wrapText="1"/>
    </xf>
    <xf numFmtId="0" fontId="32" fillId="0" borderId="14" xfId="0" applyNumberFormat="1" applyFont="1" applyBorder="1" applyAlignment="1">
      <alignment horizontal="center" vertical="center" wrapText="1"/>
    </xf>
    <xf numFmtId="0" fontId="32" fillId="0" borderId="16" xfId="0" applyNumberFormat="1" applyFont="1" applyBorder="1" applyAlignment="1">
      <alignment horizontal="center" vertical="center" wrapText="1"/>
    </xf>
    <xf numFmtId="0" fontId="32" fillId="0" borderId="11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32" fillId="0" borderId="10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top"/>
    </xf>
    <xf numFmtId="0" fontId="8" fillId="0" borderId="20" xfId="0" applyFont="1" applyFill="1" applyBorder="1" applyAlignment="1">
      <alignment horizontal="center" vertical="top"/>
    </xf>
    <xf numFmtId="0" fontId="34" fillId="0" borderId="21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7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3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3</xdr:row>
      <xdr:rowOff>0</xdr:rowOff>
    </xdr:from>
    <xdr:to>
      <xdr:col>23</xdr:col>
      <xdr:colOff>161925</xdr:colOff>
      <xdr:row>3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10506075" y="723900"/>
          <a:ext cx="561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21</xdr:col>
      <xdr:colOff>428625</xdr:colOff>
      <xdr:row>3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4638675" y="723900"/>
          <a:ext cx="1022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381000</xdr:colOff>
      <xdr:row>24</xdr:row>
      <xdr:rowOff>257175</xdr:rowOff>
    </xdr:from>
    <xdr:to>
      <xdr:col>15</xdr:col>
      <xdr:colOff>95250</xdr:colOff>
      <xdr:row>24</xdr:row>
      <xdr:rowOff>266700</xdr:rowOff>
    </xdr:to>
    <xdr:sp>
      <xdr:nvSpPr>
        <xdr:cNvPr id="3" name="Straight Arrow Connector 4"/>
        <xdr:cNvSpPr>
          <a:spLocks/>
        </xdr:cNvSpPr>
      </xdr:nvSpPr>
      <xdr:spPr>
        <a:xfrm flipV="1">
          <a:off x="8705850" y="9010650"/>
          <a:ext cx="952500" cy="9525"/>
        </a:xfrm>
        <a:prstGeom prst="straightConnector1">
          <a:avLst/>
        </a:prstGeom>
        <a:noFill/>
        <a:ln w="9525" cmpd="sng">
          <a:solidFill>
            <a:srgbClr val="BE4B48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409575</xdr:colOff>
      <xdr:row>60</xdr:row>
      <xdr:rowOff>228600</xdr:rowOff>
    </xdr:from>
    <xdr:to>
      <xdr:col>15</xdr:col>
      <xdr:colOff>142875</xdr:colOff>
      <xdr:row>60</xdr:row>
      <xdr:rowOff>257175</xdr:rowOff>
    </xdr:to>
    <xdr:sp>
      <xdr:nvSpPr>
        <xdr:cNvPr id="4" name="Straight Arrow Connector 6"/>
        <xdr:cNvSpPr>
          <a:spLocks/>
        </xdr:cNvSpPr>
      </xdr:nvSpPr>
      <xdr:spPr>
        <a:xfrm flipV="1">
          <a:off x="8705850" y="23974425"/>
          <a:ext cx="1000125" cy="28575"/>
        </a:xfrm>
        <a:prstGeom prst="straightConnector1">
          <a:avLst/>
        </a:prstGeom>
        <a:noFill/>
        <a:ln w="9525" cmpd="sng">
          <a:solidFill>
            <a:srgbClr val="BE4B48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2"/>
  <sheetViews>
    <sheetView tabSelected="1" zoomScalePageLayoutView="0" workbookViewId="0" topLeftCell="A14">
      <selection activeCell="P23" sqref="P23"/>
    </sheetView>
  </sheetViews>
  <sheetFormatPr defaultColWidth="8.88671875" defaultRowHeight="16.5"/>
  <cols>
    <col min="1" max="1" width="3.99609375" style="184" customWidth="1"/>
    <col min="2" max="2" width="2.10546875" style="185" customWidth="1"/>
    <col min="3" max="3" width="8.88671875" style="185" customWidth="1"/>
    <col min="4" max="4" width="30.3359375" style="185" customWidth="1"/>
    <col min="5" max="5" width="8.77734375" style="1" customWidth="1"/>
    <col min="6" max="6" width="10.21484375" style="11" hidden="1" customWidth="1"/>
    <col min="7" max="7" width="10.10546875" style="12" customWidth="1"/>
    <col min="8" max="8" width="7.77734375" style="13" customWidth="1"/>
    <col min="9" max="9" width="0.10546875" style="13" customWidth="1"/>
    <col min="10" max="10" width="11.5546875" style="13" customWidth="1"/>
    <col min="11" max="11" width="9.77734375" style="13" customWidth="1"/>
    <col min="12" max="12" width="8.10546875" style="13" customWidth="1"/>
    <col min="13" max="13" width="7.5546875" style="13" hidden="1" customWidth="1"/>
    <col min="14" max="14" width="7.77734375" style="14" hidden="1" customWidth="1"/>
    <col min="15" max="15" width="9.99609375" style="15" customWidth="1"/>
    <col min="16" max="16" width="10.99609375" style="1" customWidth="1"/>
    <col min="17" max="17" width="10.77734375" style="1" customWidth="1"/>
    <col min="18" max="18" width="8.3359375" style="1" customWidth="1"/>
    <col min="19" max="16384" width="8.88671875" style="1" customWidth="1"/>
  </cols>
  <sheetData>
    <row r="1" spans="1:15" ht="22.5" customHeight="1">
      <c r="A1" s="344" t="s">
        <v>0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</row>
    <row r="2" spans="1:18" ht="34.5" customHeight="1">
      <c r="A2" s="345" t="s">
        <v>1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2"/>
      <c r="Q2" s="2"/>
      <c r="R2" s="2"/>
    </row>
    <row r="3" spans="1:18" ht="18.75" hidden="1">
      <c r="A3" s="346" t="s">
        <v>2</v>
      </c>
      <c r="B3" s="346"/>
      <c r="C3" s="346"/>
      <c r="D3" s="346"/>
      <c r="E3" s="346"/>
      <c r="F3" s="346"/>
      <c r="G3" s="4"/>
      <c r="H3" s="5"/>
      <c r="I3" s="5"/>
      <c r="J3" s="5"/>
      <c r="K3" s="5"/>
      <c r="L3" s="5"/>
      <c r="M3" s="5"/>
      <c r="N3" s="6"/>
      <c r="O3" s="7"/>
      <c r="P3" s="3"/>
      <c r="Q3" s="3"/>
      <c r="R3" s="3"/>
    </row>
    <row r="4" spans="1:18" ht="20.25" customHeight="1" hidden="1">
      <c r="A4" s="347" t="s">
        <v>3</v>
      </c>
      <c r="B4" s="347"/>
      <c r="C4" s="347"/>
      <c r="D4" s="347"/>
      <c r="E4" s="347"/>
      <c r="F4" s="347"/>
      <c r="G4" s="4"/>
      <c r="H4" s="5"/>
      <c r="I4" s="5"/>
      <c r="J4" s="5"/>
      <c r="K4" s="5"/>
      <c r="L4" s="5"/>
      <c r="M4" s="5"/>
      <c r="N4" s="6"/>
      <c r="O4" s="7"/>
      <c r="P4" s="3"/>
      <c r="Q4" s="3"/>
      <c r="R4" s="3"/>
    </row>
    <row r="5" spans="1:18" ht="22.5" customHeight="1">
      <c r="A5" s="332" t="s">
        <v>4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"/>
      <c r="Q5" s="3"/>
      <c r="R5" s="3"/>
    </row>
    <row r="6" spans="1:5" ht="9" customHeight="1">
      <c r="A6" s="8"/>
      <c r="B6" s="9"/>
      <c r="C6" s="9"/>
      <c r="D6" s="9"/>
      <c r="E6" s="10"/>
    </row>
    <row r="7" spans="1:18" s="21" customFormat="1" ht="33" customHeight="1">
      <c r="A7" s="308" t="s">
        <v>5</v>
      </c>
      <c r="B7" s="333" t="s">
        <v>6</v>
      </c>
      <c r="C7" s="333"/>
      <c r="D7" s="333"/>
      <c r="E7" s="334" t="s">
        <v>7</v>
      </c>
      <c r="F7" s="335" t="s">
        <v>8</v>
      </c>
      <c r="G7" s="336" t="s">
        <v>9</v>
      </c>
      <c r="H7" s="338" t="s">
        <v>10</v>
      </c>
      <c r="I7" s="339"/>
      <c r="J7" s="339"/>
      <c r="K7" s="339"/>
      <c r="L7" s="340"/>
      <c r="M7" s="341" t="s">
        <v>11</v>
      </c>
      <c r="N7" s="342" t="s">
        <v>12</v>
      </c>
      <c r="O7" s="343" t="s">
        <v>13</v>
      </c>
      <c r="P7" s="19"/>
      <c r="Q7" s="20"/>
      <c r="R7" s="20"/>
    </row>
    <row r="8" spans="1:18" s="21" customFormat="1" ht="96" customHeight="1">
      <c r="A8" s="308"/>
      <c r="B8" s="333"/>
      <c r="C8" s="333"/>
      <c r="D8" s="333"/>
      <c r="E8" s="334"/>
      <c r="F8" s="335"/>
      <c r="G8" s="337"/>
      <c r="H8" s="22" t="s">
        <v>14</v>
      </c>
      <c r="I8" s="22" t="s">
        <v>15</v>
      </c>
      <c r="J8" s="22" t="s">
        <v>16</v>
      </c>
      <c r="K8" s="22" t="s">
        <v>17</v>
      </c>
      <c r="L8" s="22" t="s">
        <v>18</v>
      </c>
      <c r="M8" s="341"/>
      <c r="N8" s="342"/>
      <c r="O8" s="343"/>
      <c r="P8" s="19"/>
      <c r="Q8" s="20"/>
      <c r="R8" s="20"/>
    </row>
    <row r="9" spans="1:18" s="21" customFormat="1" ht="30" customHeight="1">
      <c r="A9" s="23" t="s">
        <v>19</v>
      </c>
      <c r="B9" s="297" t="s">
        <v>20</v>
      </c>
      <c r="C9" s="330"/>
      <c r="D9" s="331"/>
      <c r="E9" s="24"/>
      <c r="F9" s="22"/>
      <c r="G9" s="25"/>
      <c r="H9" s="26"/>
      <c r="I9" s="26"/>
      <c r="J9" s="26"/>
      <c r="K9" s="27"/>
      <c r="L9" s="27"/>
      <c r="M9" s="26"/>
      <c r="N9" s="26"/>
      <c r="O9" s="18"/>
      <c r="P9" s="19"/>
      <c r="Q9" s="20"/>
      <c r="R9" s="20"/>
    </row>
    <row r="10" spans="1:19" s="38" customFormat="1" ht="27" customHeight="1">
      <c r="A10" s="308">
        <v>1</v>
      </c>
      <c r="B10" s="312" t="s">
        <v>21</v>
      </c>
      <c r="C10" s="312"/>
      <c r="D10" s="312"/>
      <c r="E10" s="16" t="s">
        <v>22</v>
      </c>
      <c r="F10" s="29">
        <f aca="true" t="shared" si="0" ref="F10:K10">F12+F13+F16</f>
        <v>2820.8999999999996</v>
      </c>
      <c r="G10" s="30">
        <f t="shared" si="0"/>
        <v>3344</v>
      </c>
      <c r="H10" s="30">
        <f t="shared" si="0"/>
        <v>3680</v>
      </c>
      <c r="I10" s="30">
        <f t="shared" si="0"/>
        <v>3342</v>
      </c>
      <c r="J10" s="30">
        <f t="shared" si="0"/>
        <v>1620</v>
      </c>
      <c r="K10" s="30">
        <f t="shared" si="0"/>
        <v>3685</v>
      </c>
      <c r="L10" s="31">
        <f>K10/H10*100</f>
        <v>100.13586956521738</v>
      </c>
      <c r="M10" s="30">
        <f>M12+M13+M16</f>
        <v>4079</v>
      </c>
      <c r="N10" s="32"/>
      <c r="O10" s="33"/>
      <c r="P10" s="34"/>
      <c r="Q10" s="35">
        <f>(J10-H10)/H10*100</f>
        <v>-55.97826086956522</v>
      </c>
      <c r="R10" s="36">
        <f>H10/G10*100</f>
        <v>110.04784688995215</v>
      </c>
      <c r="S10" s="37"/>
    </row>
    <row r="11" spans="1:19" s="47" customFormat="1" ht="24" customHeight="1">
      <c r="A11" s="308"/>
      <c r="B11" s="289" t="s">
        <v>23</v>
      </c>
      <c r="C11" s="289"/>
      <c r="D11" s="289"/>
      <c r="E11" s="40"/>
      <c r="F11" s="41"/>
      <c r="G11" s="42"/>
      <c r="H11" s="33"/>
      <c r="I11" s="33"/>
      <c r="J11" s="33"/>
      <c r="K11" s="43"/>
      <c r="L11" s="43"/>
      <c r="M11" s="33"/>
      <c r="N11" s="32"/>
      <c r="O11" s="33"/>
      <c r="P11" s="44"/>
      <c r="Q11" s="45"/>
      <c r="R11" s="45"/>
      <c r="S11" s="46"/>
    </row>
    <row r="12" spans="1:19" s="47" customFormat="1" ht="30.75" customHeight="1">
      <c r="A12" s="308"/>
      <c r="B12" s="48" t="s">
        <v>24</v>
      </c>
      <c r="C12" s="49" t="s">
        <v>25</v>
      </c>
      <c r="D12" s="49"/>
      <c r="E12" s="50" t="s">
        <v>22</v>
      </c>
      <c r="F12" s="51">
        <v>1121.6</v>
      </c>
      <c r="G12" s="52">
        <v>1201</v>
      </c>
      <c r="H12" s="53">
        <v>1245</v>
      </c>
      <c r="I12" s="53">
        <v>1201</v>
      </c>
      <c r="J12" s="53">
        <v>490</v>
      </c>
      <c r="K12" s="54">
        <v>1225</v>
      </c>
      <c r="L12" s="43">
        <f>K12/H12*100</f>
        <v>98.39357429718876</v>
      </c>
      <c r="M12" s="55">
        <v>1379</v>
      </c>
      <c r="N12" s="56"/>
      <c r="O12" s="33"/>
      <c r="Q12" s="45"/>
      <c r="R12" s="45"/>
      <c r="S12" s="46"/>
    </row>
    <row r="13" spans="1:19" s="47" customFormat="1" ht="30.75" customHeight="1">
      <c r="A13" s="308"/>
      <c r="B13" s="48" t="s">
        <v>24</v>
      </c>
      <c r="C13" s="49" t="s">
        <v>26</v>
      </c>
      <c r="D13" s="49"/>
      <c r="E13" s="50" t="s">
        <v>22</v>
      </c>
      <c r="F13" s="51">
        <v>609.3</v>
      </c>
      <c r="G13" s="52">
        <f>SUM(G14:G15)</f>
        <v>767</v>
      </c>
      <c r="H13" s="58">
        <f>H14+H15</f>
        <v>875</v>
      </c>
      <c r="I13" s="58">
        <f>I14+I15</f>
        <v>765</v>
      </c>
      <c r="J13" s="58">
        <v>417</v>
      </c>
      <c r="K13" s="58">
        <f>SUM(K14:K15)</f>
        <v>880</v>
      </c>
      <c r="L13" s="43">
        <f>K13/H13*100</f>
        <v>100.57142857142858</v>
      </c>
      <c r="M13" s="59">
        <v>950</v>
      </c>
      <c r="N13" s="56"/>
      <c r="O13" s="33"/>
      <c r="P13" s="57">
        <f>M17-K17</f>
        <v>0.4946261515389523</v>
      </c>
      <c r="Q13" s="36"/>
      <c r="R13" s="45"/>
      <c r="S13" s="46"/>
    </row>
    <row r="14" spans="1:19" s="47" customFormat="1" ht="30.75" customHeight="1">
      <c r="A14" s="308"/>
      <c r="B14" s="60" t="s">
        <v>27</v>
      </c>
      <c r="C14" s="61" t="s">
        <v>28</v>
      </c>
      <c r="D14" s="62"/>
      <c r="E14" s="63" t="s">
        <v>22</v>
      </c>
      <c r="F14" s="51">
        <v>290</v>
      </c>
      <c r="G14" s="52">
        <v>335</v>
      </c>
      <c r="H14" s="58">
        <v>387</v>
      </c>
      <c r="I14" s="58">
        <v>345</v>
      </c>
      <c r="J14" s="58">
        <v>180</v>
      </c>
      <c r="K14" s="54">
        <v>390</v>
      </c>
      <c r="L14" s="43">
        <f>K14/H14*100</f>
        <v>100.7751937984496</v>
      </c>
      <c r="M14" s="59">
        <v>430</v>
      </c>
      <c r="N14" s="56"/>
      <c r="O14" s="33"/>
      <c r="P14" s="57"/>
      <c r="Q14" s="45"/>
      <c r="R14" s="45"/>
      <c r="S14" s="46"/>
    </row>
    <row r="15" spans="1:19" s="47" customFormat="1" ht="30.75" customHeight="1">
      <c r="A15" s="308"/>
      <c r="B15" s="60" t="s">
        <v>27</v>
      </c>
      <c r="C15" s="64" t="s">
        <v>29</v>
      </c>
      <c r="D15" s="65"/>
      <c r="E15" s="63" t="s">
        <v>22</v>
      </c>
      <c r="F15" s="51">
        <f>F13-F14</f>
        <v>319.29999999999995</v>
      </c>
      <c r="G15" s="52">
        <v>432</v>
      </c>
      <c r="H15" s="58">
        <v>488</v>
      </c>
      <c r="I15" s="58">
        <v>420</v>
      </c>
      <c r="J15" s="58">
        <v>237</v>
      </c>
      <c r="K15" s="54">
        <v>490</v>
      </c>
      <c r="L15" s="43">
        <f>K15/H15*100</f>
        <v>100.40983606557377</v>
      </c>
      <c r="M15" s="58">
        <v>540</v>
      </c>
      <c r="N15" s="56"/>
      <c r="O15" s="33"/>
      <c r="P15" s="57"/>
      <c r="Q15" s="66">
        <v>112</v>
      </c>
      <c r="R15" s="45"/>
      <c r="S15" s="46">
        <f>426/355*100</f>
        <v>120</v>
      </c>
    </row>
    <row r="16" spans="1:19" s="47" customFormat="1" ht="30.75" customHeight="1">
      <c r="A16" s="308"/>
      <c r="B16" s="67" t="s">
        <v>24</v>
      </c>
      <c r="C16" s="49" t="s">
        <v>30</v>
      </c>
      <c r="D16" s="49"/>
      <c r="E16" s="50" t="s">
        <v>22</v>
      </c>
      <c r="F16" s="51">
        <v>1090</v>
      </c>
      <c r="G16" s="52">
        <v>1376</v>
      </c>
      <c r="H16" s="53">
        <v>1560</v>
      </c>
      <c r="I16" s="53">
        <v>1376</v>
      </c>
      <c r="J16" s="53">
        <v>713</v>
      </c>
      <c r="K16" s="54">
        <v>1580</v>
      </c>
      <c r="L16" s="43">
        <f>K16/H16*100</f>
        <v>101.28205128205127</v>
      </c>
      <c r="M16" s="53">
        <v>1750</v>
      </c>
      <c r="N16" s="56"/>
      <c r="O16" s="33"/>
      <c r="P16" s="57">
        <f>H17-G17</f>
        <v>0.6300000000000008</v>
      </c>
      <c r="Q16" s="66">
        <v>359</v>
      </c>
      <c r="R16" s="45"/>
      <c r="S16" s="46"/>
    </row>
    <row r="17" spans="1:19" s="38" customFormat="1" ht="31.5">
      <c r="A17" s="308"/>
      <c r="B17" s="68" t="s">
        <v>31</v>
      </c>
      <c r="C17" s="68"/>
      <c r="D17" s="68"/>
      <c r="E17" s="69" t="s">
        <v>32</v>
      </c>
      <c r="F17" s="29">
        <v>8.1</v>
      </c>
      <c r="G17" s="70">
        <v>9.42</v>
      </c>
      <c r="H17" s="71">
        <v>10.05</v>
      </c>
      <c r="I17" s="71" t="e">
        <f>I10/#REF!*100-100</f>
        <v>#REF!</v>
      </c>
      <c r="J17" s="71" t="s">
        <v>33</v>
      </c>
      <c r="K17" s="31">
        <f>K10/G10*100-100</f>
        <v>10.19736842105263</v>
      </c>
      <c r="L17" s="31"/>
      <c r="M17" s="273">
        <f>M10/K10*100-100</f>
        <v>10.691994572591582</v>
      </c>
      <c r="N17" s="32"/>
      <c r="O17" s="33"/>
      <c r="P17" s="57"/>
      <c r="Q17" s="66">
        <f>SUM(Q15:Q16)</f>
        <v>471</v>
      </c>
      <c r="R17" s="45"/>
      <c r="S17" s="37">
        <f>9.9-8.6</f>
        <v>1.3000000000000007</v>
      </c>
    </row>
    <row r="18" spans="1:19" s="47" customFormat="1" ht="29.25" customHeight="1">
      <c r="A18" s="308">
        <v>2</v>
      </c>
      <c r="B18" s="312" t="s">
        <v>34</v>
      </c>
      <c r="C18" s="312"/>
      <c r="D18" s="312"/>
      <c r="E18" s="16" t="s">
        <v>22</v>
      </c>
      <c r="F18" s="30">
        <f aca="true" t="shared" si="1" ref="F18:K18">F20+F21+F24</f>
        <v>4148</v>
      </c>
      <c r="G18" s="72">
        <f t="shared" si="1"/>
        <v>5104.04</v>
      </c>
      <c r="H18" s="73">
        <f t="shared" si="1"/>
        <v>5664</v>
      </c>
      <c r="I18" s="73">
        <f t="shared" si="1"/>
        <v>5087</v>
      </c>
      <c r="J18" s="73">
        <f t="shared" si="1"/>
        <v>1945</v>
      </c>
      <c r="K18" s="73">
        <f t="shared" si="1"/>
        <v>5627</v>
      </c>
      <c r="L18" s="31">
        <f>K18/H18*100</f>
        <v>99.34675141242938</v>
      </c>
      <c r="M18" s="73">
        <f>M20+M21+M24</f>
        <v>5920</v>
      </c>
      <c r="N18" s="32"/>
      <c r="O18" s="33"/>
      <c r="P18" s="44">
        <f>10.2+0.6</f>
        <v>10.799999999999999</v>
      </c>
      <c r="Q18" s="45"/>
      <c r="R18" s="45"/>
      <c r="S18" s="46"/>
    </row>
    <row r="19" spans="1:19" s="47" customFormat="1" ht="26.25" customHeight="1">
      <c r="A19" s="308"/>
      <c r="B19" s="289" t="s">
        <v>23</v>
      </c>
      <c r="C19" s="289"/>
      <c r="D19" s="289"/>
      <c r="E19" s="40"/>
      <c r="F19" s="41"/>
      <c r="G19" s="74"/>
      <c r="H19" s="33"/>
      <c r="I19" s="33"/>
      <c r="J19" s="33"/>
      <c r="K19" s="43"/>
      <c r="L19" s="43"/>
      <c r="M19" s="33"/>
      <c r="N19" s="32"/>
      <c r="O19" s="33"/>
      <c r="P19" s="44"/>
      <c r="Q19" s="36">
        <f>K17-H17</f>
        <v>0.14736842105262937</v>
      </c>
      <c r="R19" s="45"/>
      <c r="S19" s="46"/>
    </row>
    <row r="20" spans="1:19" s="47" customFormat="1" ht="30" customHeight="1">
      <c r="A20" s="308"/>
      <c r="B20" s="75" t="s">
        <v>24</v>
      </c>
      <c r="C20" s="40" t="s">
        <v>25</v>
      </c>
      <c r="D20" s="40"/>
      <c r="E20" s="75" t="s">
        <v>22</v>
      </c>
      <c r="F20" s="76">
        <v>1975</v>
      </c>
      <c r="G20" s="74">
        <v>2333</v>
      </c>
      <c r="H20" s="77">
        <v>2489</v>
      </c>
      <c r="I20" s="77">
        <v>2325</v>
      </c>
      <c r="J20" s="77">
        <v>560</v>
      </c>
      <c r="K20" s="54">
        <v>2445</v>
      </c>
      <c r="L20" s="43">
        <f>K20/H20*100</f>
        <v>98.23222177581357</v>
      </c>
      <c r="M20" s="53">
        <v>2500</v>
      </c>
      <c r="N20" s="56"/>
      <c r="O20" s="33"/>
      <c r="P20" s="78"/>
      <c r="Q20" s="287">
        <v>-1.77</v>
      </c>
      <c r="R20" s="45"/>
      <c r="S20" s="46"/>
    </row>
    <row r="21" spans="1:19" s="47" customFormat="1" ht="30" customHeight="1">
      <c r="A21" s="308"/>
      <c r="B21" s="75" t="s">
        <v>24</v>
      </c>
      <c r="C21" s="40" t="s">
        <v>26</v>
      </c>
      <c r="D21" s="40"/>
      <c r="E21" s="75" t="s">
        <v>22</v>
      </c>
      <c r="F21" s="76">
        <v>759</v>
      </c>
      <c r="G21" s="74">
        <f>SUM(G22:G23)</f>
        <v>996</v>
      </c>
      <c r="H21" s="58">
        <f>H22+H23</f>
        <v>1145</v>
      </c>
      <c r="I21" s="58">
        <f>I22+I23</f>
        <v>996</v>
      </c>
      <c r="J21" s="58">
        <v>495</v>
      </c>
      <c r="K21" s="58">
        <f>K22+K23</f>
        <v>1150</v>
      </c>
      <c r="L21" s="43">
        <f>K21/H21*100</f>
        <v>100.43668122270742</v>
      </c>
      <c r="M21" s="53">
        <v>1250</v>
      </c>
      <c r="N21" s="56"/>
      <c r="O21" s="33"/>
      <c r="P21" s="78"/>
      <c r="Q21" s="287">
        <v>0.43</v>
      </c>
      <c r="R21" s="45"/>
      <c r="S21" s="46"/>
    </row>
    <row r="22" spans="1:19" s="47" customFormat="1" ht="30" customHeight="1">
      <c r="A22" s="308"/>
      <c r="B22" s="79" t="s">
        <v>27</v>
      </c>
      <c r="C22" s="80" t="s">
        <v>28</v>
      </c>
      <c r="D22" s="81"/>
      <c r="E22" s="79" t="s">
        <v>22</v>
      </c>
      <c r="F22" s="76">
        <v>401</v>
      </c>
      <c r="G22" s="74">
        <v>445</v>
      </c>
      <c r="H22" s="58">
        <v>508</v>
      </c>
      <c r="I22" s="58">
        <v>491</v>
      </c>
      <c r="J22" s="58">
        <v>210</v>
      </c>
      <c r="K22" s="54">
        <v>510</v>
      </c>
      <c r="L22" s="43">
        <f>K22/H22*100</f>
        <v>100.39370078740157</v>
      </c>
      <c r="M22" s="182">
        <v>555</v>
      </c>
      <c r="N22" s="56"/>
      <c r="O22" s="33"/>
      <c r="P22" s="78"/>
      <c r="Q22" s="45"/>
      <c r="R22" s="45"/>
      <c r="S22" s="46"/>
    </row>
    <row r="23" spans="1:19" s="47" customFormat="1" ht="30" customHeight="1">
      <c r="A23" s="308"/>
      <c r="B23" s="79" t="s">
        <v>27</v>
      </c>
      <c r="C23" s="82" t="s">
        <v>29</v>
      </c>
      <c r="D23" s="83"/>
      <c r="E23" s="79" t="s">
        <v>22</v>
      </c>
      <c r="F23" s="76">
        <f>F21-F22</f>
        <v>358</v>
      </c>
      <c r="G23" s="74">
        <v>551</v>
      </c>
      <c r="H23" s="58">
        <v>637</v>
      </c>
      <c r="I23" s="58">
        <v>505</v>
      </c>
      <c r="J23" s="58">
        <v>285</v>
      </c>
      <c r="K23" s="54">
        <v>640</v>
      </c>
      <c r="L23" s="43">
        <f>K23/H23*100</f>
        <v>100.47095761381475</v>
      </c>
      <c r="M23" s="182">
        <v>685</v>
      </c>
      <c r="N23" s="56"/>
      <c r="O23" s="33"/>
      <c r="P23" s="78"/>
      <c r="Q23" s="45"/>
      <c r="R23" s="45"/>
      <c r="S23" s="46"/>
    </row>
    <row r="24" spans="1:19" s="47" customFormat="1" ht="30" customHeight="1">
      <c r="A24" s="308"/>
      <c r="B24" s="75" t="s">
        <v>24</v>
      </c>
      <c r="C24" s="40" t="s">
        <v>30</v>
      </c>
      <c r="D24" s="40"/>
      <c r="E24" s="75" t="s">
        <v>22</v>
      </c>
      <c r="F24" s="76">
        <v>1414</v>
      </c>
      <c r="G24" s="74">
        <v>1775.04</v>
      </c>
      <c r="H24" s="77">
        <v>2030</v>
      </c>
      <c r="I24" s="77">
        <v>1766</v>
      </c>
      <c r="J24" s="77">
        <v>890</v>
      </c>
      <c r="K24" s="54">
        <v>2032</v>
      </c>
      <c r="L24" s="43">
        <f>K24/H24*100</f>
        <v>100.09852216748769</v>
      </c>
      <c r="M24" s="53">
        <v>2170</v>
      </c>
      <c r="N24" s="56"/>
      <c r="O24" s="33"/>
      <c r="P24" s="78">
        <f>J24/H24</f>
        <v>0.43842364532019706</v>
      </c>
      <c r="Q24" s="287">
        <v>0.09</v>
      </c>
      <c r="R24" s="45">
        <f>Q20+Q21+Q24</f>
        <v>-1.25</v>
      </c>
      <c r="S24" s="46"/>
    </row>
    <row r="25" spans="1:19" s="38" customFormat="1" ht="31.5">
      <c r="A25" s="308"/>
      <c r="B25" s="329" t="s">
        <v>35</v>
      </c>
      <c r="C25" s="303"/>
      <c r="D25" s="304"/>
      <c r="E25" s="69" t="s">
        <v>36</v>
      </c>
      <c r="F25" s="84">
        <v>40.72</v>
      </c>
      <c r="G25" s="70">
        <v>47.09</v>
      </c>
      <c r="H25" s="71">
        <v>51.07</v>
      </c>
      <c r="I25" s="71">
        <f>I18/I61*1000</f>
        <v>46.88479262672811</v>
      </c>
      <c r="J25" s="71" t="s">
        <v>33</v>
      </c>
      <c r="K25" s="31">
        <f>K18/K61*1000</f>
        <v>51.52930402930403</v>
      </c>
      <c r="L25" s="31"/>
      <c r="M25" s="31">
        <f>M18/M61*1000</f>
        <v>52.29681978798587</v>
      </c>
      <c r="N25" s="32"/>
      <c r="O25" s="33"/>
      <c r="P25" s="313" t="s">
        <v>303</v>
      </c>
      <c r="Q25" s="314"/>
      <c r="R25" s="45"/>
      <c r="S25" s="37"/>
    </row>
    <row r="26" spans="1:19" s="38" customFormat="1" ht="30" customHeight="1">
      <c r="A26" s="298">
        <v>3</v>
      </c>
      <c r="B26" s="292" t="s">
        <v>37</v>
      </c>
      <c r="C26" s="293"/>
      <c r="D26" s="293"/>
      <c r="E26" s="69" t="s">
        <v>32</v>
      </c>
      <c r="F26" s="86">
        <f>F28+F29+F32</f>
        <v>100</v>
      </c>
      <c r="G26" s="86">
        <f>G28+G29+G32</f>
        <v>100</v>
      </c>
      <c r="H26" s="86">
        <f>H28+H29+H32</f>
        <v>100</v>
      </c>
      <c r="I26" s="86">
        <f>I28+I29+I32</f>
        <v>100</v>
      </c>
      <c r="J26" s="86"/>
      <c r="K26" s="86">
        <f>K28+K29+K32</f>
        <v>100</v>
      </c>
      <c r="L26" s="86"/>
      <c r="M26" s="86">
        <f>M28+M29+M32</f>
        <v>100</v>
      </c>
      <c r="N26" s="32"/>
      <c r="O26" s="33"/>
      <c r="P26" s="87"/>
      <c r="Q26" s="88"/>
      <c r="R26" s="88"/>
      <c r="S26" s="37"/>
    </row>
    <row r="27" spans="1:19" s="47" customFormat="1" ht="26.25" customHeight="1">
      <c r="A27" s="299"/>
      <c r="B27" s="289" t="s">
        <v>23</v>
      </c>
      <c r="C27" s="289"/>
      <c r="D27" s="289"/>
      <c r="E27" s="75"/>
      <c r="F27" s="89"/>
      <c r="G27" s="42"/>
      <c r="H27" s="33"/>
      <c r="I27" s="33"/>
      <c r="J27" s="33"/>
      <c r="K27" s="43"/>
      <c r="L27" s="43"/>
      <c r="M27" s="33"/>
      <c r="N27" s="32"/>
      <c r="O27" s="33"/>
      <c r="P27" s="90"/>
      <c r="Q27" s="88"/>
      <c r="R27" s="88"/>
      <c r="S27" s="46"/>
    </row>
    <row r="28" spans="1:19" s="47" customFormat="1" ht="31.5" customHeight="1">
      <c r="A28" s="299"/>
      <c r="B28" s="75" t="s">
        <v>24</v>
      </c>
      <c r="C28" s="40" t="s">
        <v>25</v>
      </c>
      <c r="D28" s="40"/>
      <c r="E28" s="75" t="s">
        <v>32</v>
      </c>
      <c r="F28" s="91">
        <f>F20/F18*100</f>
        <v>47.61330761812922</v>
      </c>
      <c r="G28" s="92">
        <f>G20/G18*100</f>
        <v>45.70888942876623</v>
      </c>
      <c r="H28" s="92">
        <f>H20/H18*100</f>
        <v>43.94420903954802</v>
      </c>
      <c r="I28" s="92">
        <f>I20/I18*100</f>
        <v>45.704737566345585</v>
      </c>
      <c r="J28" s="294" t="s">
        <v>33</v>
      </c>
      <c r="K28" s="93">
        <f>K20/K18*100</f>
        <v>43.45121734494402</v>
      </c>
      <c r="L28" s="43"/>
      <c r="M28" s="93">
        <f>M20/M18*100</f>
        <v>42.22972972972973</v>
      </c>
      <c r="N28" s="56"/>
      <c r="O28" s="33"/>
      <c r="P28" s="90"/>
      <c r="Q28" s="88"/>
      <c r="R28" s="88"/>
      <c r="S28" s="46"/>
    </row>
    <row r="29" spans="1:19" s="47" customFormat="1" ht="31.5" customHeight="1">
      <c r="A29" s="299"/>
      <c r="B29" s="75" t="s">
        <v>24</v>
      </c>
      <c r="C29" s="40" t="s">
        <v>26</v>
      </c>
      <c r="D29" s="40"/>
      <c r="E29" s="75" t="s">
        <v>32</v>
      </c>
      <c r="F29" s="91">
        <f>F21/F18*100</f>
        <v>18.297974927675988</v>
      </c>
      <c r="G29" s="92">
        <f>G21/G18*100</f>
        <v>19.513953652400843</v>
      </c>
      <c r="H29" s="92">
        <f>H21/H18*100</f>
        <v>20.21539548022599</v>
      </c>
      <c r="I29" s="92">
        <f>I21/I18*100</f>
        <v>19.579319834873207</v>
      </c>
      <c r="J29" s="295"/>
      <c r="K29" s="93">
        <f>K21/K18*100</f>
        <v>20.43717789230496</v>
      </c>
      <c r="L29" s="43"/>
      <c r="M29" s="93">
        <f>M21/M18*100</f>
        <v>21.114864864864867</v>
      </c>
      <c r="N29" s="56"/>
      <c r="O29" s="33"/>
      <c r="P29" s="90"/>
      <c r="Q29" s="88"/>
      <c r="R29" s="88"/>
      <c r="S29" s="46"/>
    </row>
    <row r="30" spans="1:19" s="96" customFormat="1" ht="31.5" customHeight="1">
      <c r="A30" s="299"/>
      <c r="B30" s="79" t="s">
        <v>27</v>
      </c>
      <c r="C30" s="80" t="s">
        <v>28</v>
      </c>
      <c r="D30" s="81"/>
      <c r="E30" s="79" t="s">
        <v>32</v>
      </c>
      <c r="F30" s="94">
        <f>F22/F18*100</f>
        <v>9.667309546769527</v>
      </c>
      <c r="G30" s="92">
        <f>G22/G18*100</f>
        <v>8.718583710159011</v>
      </c>
      <c r="H30" s="92">
        <f>H22/H18*100</f>
        <v>8.968926553672317</v>
      </c>
      <c r="I30" s="92">
        <f>I22/I18*100</f>
        <v>9.652054255946531</v>
      </c>
      <c r="J30" s="295"/>
      <c r="K30" s="92">
        <f>K22/K18*100</f>
        <v>9.06344410876133</v>
      </c>
      <c r="L30" s="43"/>
      <c r="M30" s="92">
        <f>M22/M18*100</f>
        <v>9.375</v>
      </c>
      <c r="N30" s="56"/>
      <c r="O30" s="33"/>
      <c r="P30" s="57"/>
      <c r="Q30" s="88"/>
      <c r="R30" s="88"/>
      <c r="S30" s="95"/>
    </row>
    <row r="31" spans="1:19" s="96" customFormat="1" ht="31.5" customHeight="1">
      <c r="A31" s="299"/>
      <c r="B31" s="79" t="s">
        <v>27</v>
      </c>
      <c r="C31" s="82" t="s">
        <v>29</v>
      </c>
      <c r="D31" s="83"/>
      <c r="E31" s="79" t="s">
        <v>32</v>
      </c>
      <c r="F31" s="94">
        <f>F23/F18*100</f>
        <v>8.63066538090646</v>
      </c>
      <c r="G31" s="92">
        <f>G23/G18*100</f>
        <v>10.795369942241832</v>
      </c>
      <c r="H31" s="92">
        <f>H23/H18*100</f>
        <v>11.246468926553673</v>
      </c>
      <c r="I31" s="92">
        <f>I23/I18*100</f>
        <v>9.927265578926676</v>
      </c>
      <c r="J31" s="295"/>
      <c r="K31" s="93">
        <f>K23/K18*100</f>
        <v>11.373733783543628</v>
      </c>
      <c r="L31" s="43"/>
      <c r="M31" s="93">
        <f>M23/M18*100</f>
        <v>11.570945945945946</v>
      </c>
      <c r="N31" s="56"/>
      <c r="O31" s="33"/>
      <c r="P31" s="90"/>
      <c r="Q31" s="88"/>
      <c r="R31" s="88"/>
      <c r="S31" s="95"/>
    </row>
    <row r="32" spans="1:19" s="47" customFormat="1" ht="31.5" customHeight="1">
      <c r="A32" s="288"/>
      <c r="B32" s="75" t="s">
        <v>24</v>
      </c>
      <c r="C32" s="40" t="s">
        <v>30</v>
      </c>
      <c r="D32" s="40"/>
      <c r="E32" s="75" t="s">
        <v>32</v>
      </c>
      <c r="F32" s="91">
        <f>F24/F18*100</f>
        <v>34.08871745419479</v>
      </c>
      <c r="G32" s="92">
        <f>G24/G18*100</f>
        <v>34.77715691883292</v>
      </c>
      <c r="H32" s="92">
        <f>H24/H18*100</f>
        <v>35.840395480225986</v>
      </c>
      <c r="I32" s="92">
        <f>I24/I18*100</f>
        <v>34.715942598781204</v>
      </c>
      <c r="J32" s="296"/>
      <c r="K32" s="93">
        <f>K24/K18*100</f>
        <v>36.11160476275102</v>
      </c>
      <c r="L32" s="43"/>
      <c r="M32" s="93">
        <f>M24/M18*100</f>
        <v>36.6554054054054</v>
      </c>
      <c r="N32" s="56"/>
      <c r="O32" s="33"/>
      <c r="P32" s="90"/>
      <c r="Q32" s="88"/>
      <c r="R32" s="88"/>
      <c r="S32" s="46"/>
    </row>
    <row r="33" spans="1:19" s="101" customFormat="1" ht="39.75" customHeight="1">
      <c r="A33" s="69">
        <v>4</v>
      </c>
      <c r="B33" s="97" t="s">
        <v>38</v>
      </c>
      <c r="C33" s="68"/>
      <c r="D33" s="68"/>
      <c r="E33" s="69" t="s">
        <v>32</v>
      </c>
      <c r="F33" s="98">
        <v>29.2</v>
      </c>
      <c r="G33" s="70">
        <v>30.63</v>
      </c>
      <c r="H33" s="71">
        <v>30.65</v>
      </c>
      <c r="I33" s="71"/>
      <c r="J33" s="71" t="s">
        <v>33</v>
      </c>
      <c r="K33" s="31">
        <v>30.68</v>
      </c>
      <c r="L33" s="43"/>
      <c r="M33" s="71" t="s">
        <v>302</v>
      </c>
      <c r="N33" s="32"/>
      <c r="O33" s="99"/>
      <c r="P33" s="57"/>
      <c r="Q33" s="45"/>
      <c r="R33" s="45"/>
      <c r="S33" s="100"/>
    </row>
    <row r="34" spans="1:19" s="38" customFormat="1" ht="31.5" customHeight="1">
      <c r="A34" s="102"/>
      <c r="B34" s="329" t="s">
        <v>39</v>
      </c>
      <c r="C34" s="303"/>
      <c r="D34" s="304"/>
      <c r="E34" s="69"/>
      <c r="F34" s="98"/>
      <c r="G34" s="42"/>
      <c r="H34" s="103"/>
      <c r="I34" s="103"/>
      <c r="J34" s="103"/>
      <c r="K34" s="43"/>
      <c r="L34" s="43"/>
      <c r="M34" s="103"/>
      <c r="N34" s="32"/>
      <c r="O34" s="104"/>
      <c r="P34" s="57"/>
      <c r="Q34" s="45"/>
      <c r="R34" s="45"/>
      <c r="S34" s="37"/>
    </row>
    <row r="35" spans="1:19" s="38" customFormat="1" ht="30.75" customHeight="1">
      <c r="A35" s="298">
        <v>5</v>
      </c>
      <c r="B35" s="16" t="s">
        <v>40</v>
      </c>
      <c r="C35" s="68" t="s">
        <v>41</v>
      </c>
      <c r="D35" s="68"/>
      <c r="E35" s="69" t="s">
        <v>22</v>
      </c>
      <c r="F35" s="105">
        <v>109.374</v>
      </c>
      <c r="G35" s="106">
        <f>G38+G39+G40+G41+G42</f>
        <v>130.227</v>
      </c>
      <c r="H35" s="31">
        <f>H36</f>
        <v>108.10000000000001</v>
      </c>
      <c r="I35" s="31">
        <f>I36</f>
        <v>0</v>
      </c>
      <c r="J35" s="31">
        <f>J36</f>
        <v>71.11800000000001</v>
      </c>
      <c r="K35" s="31">
        <f>K36</f>
        <v>108.10000000000001</v>
      </c>
      <c r="L35" s="31">
        <f>J35/H35*100</f>
        <v>65.78908418131361</v>
      </c>
      <c r="M35" s="275"/>
      <c r="N35" s="32"/>
      <c r="O35" s="99"/>
      <c r="P35" s="87"/>
      <c r="Q35" s="108"/>
      <c r="R35" s="108"/>
      <c r="S35" s="37"/>
    </row>
    <row r="36" spans="1:19" s="115" customFormat="1" ht="29.25" customHeight="1">
      <c r="A36" s="299"/>
      <c r="B36" s="75" t="s">
        <v>24</v>
      </c>
      <c r="C36" s="109" t="s">
        <v>42</v>
      </c>
      <c r="D36" s="110"/>
      <c r="E36" s="75" t="s">
        <v>22</v>
      </c>
      <c r="F36" s="111">
        <v>103.167</v>
      </c>
      <c r="G36" s="112">
        <f>SUM(G37:G41)</f>
        <v>127.127</v>
      </c>
      <c r="H36" s="31">
        <f>H38+H39+H40+H41+H42</f>
        <v>108.10000000000001</v>
      </c>
      <c r="I36" s="31">
        <f>I38+I39+I40+I41+I42</f>
        <v>0</v>
      </c>
      <c r="J36" s="31">
        <f>SUM(J38:J40)</f>
        <v>71.11800000000001</v>
      </c>
      <c r="K36" s="31">
        <f>K38+K39+K40+K41+K42</f>
        <v>108.10000000000001</v>
      </c>
      <c r="L36" s="31">
        <f>J36/H36*100</f>
        <v>65.78908418131361</v>
      </c>
      <c r="M36" s="276"/>
      <c r="N36" s="32"/>
      <c r="O36" s="113"/>
      <c r="P36" s="44"/>
      <c r="Q36" s="45"/>
      <c r="R36" s="45"/>
      <c r="S36" s="114"/>
    </row>
    <row r="37" spans="1:19" s="115" customFormat="1" ht="27" customHeight="1">
      <c r="A37" s="299"/>
      <c r="B37" s="116" t="s">
        <v>23</v>
      </c>
      <c r="C37" s="117"/>
      <c r="D37" s="118"/>
      <c r="E37" s="50"/>
      <c r="F37" s="111"/>
      <c r="G37" s="42"/>
      <c r="H37" s="119"/>
      <c r="I37" s="119"/>
      <c r="J37" s="119"/>
      <c r="K37" s="43"/>
      <c r="L37" s="43"/>
      <c r="M37" s="277"/>
      <c r="N37" s="56"/>
      <c r="O37" s="99"/>
      <c r="P37" s="44"/>
      <c r="Q37" s="45"/>
      <c r="R37" s="45"/>
      <c r="S37" s="114"/>
    </row>
    <row r="38" spans="1:19" s="115" customFormat="1" ht="29.25" customHeight="1">
      <c r="A38" s="299"/>
      <c r="B38" s="69" t="s">
        <v>27</v>
      </c>
      <c r="C38" s="116" t="s">
        <v>43</v>
      </c>
      <c r="D38" s="116"/>
      <c r="E38" s="50" t="s">
        <v>22</v>
      </c>
      <c r="F38" s="120">
        <v>64.85</v>
      </c>
      <c r="G38" s="112">
        <v>72.935</v>
      </c>
      <c r="H38" s="119">
        <v>70.7</v>
      </c>
      <c r="I38" s="119"/>
      <c r="J38" s="121">
        <v>40.445</v>
      </c>
      <c r="K38" s="43">
        <v>70.7</v>
      </c>
      <c r="L38" s="43">
        <f aca="true" t="shared" si="2" ref="L38:L43">J38/H38*100</f>
        <v>57.206506364922205</v>
      </c>
      <c r="M38" s="277"/>
      <c r="N38" s="56"/>
      <c r="O38" s="104"/>
      <c r="P38" s="122"/>
      <c r="Q38" s="123">
        <f>55.758-55.248</f>
        <v>0.5100000000000051</v>
      </c>
      <c r="R38" s="45"/>
      <c r="S38" s="114"/>
    </row>
    <row r="39" spans="1:19" s="115" customFormat="1" ht="29.25" customHeight="1">
      <c r="A39" s="299"/>
      <c r="B39" s="69" t="s">
        <v>27</v>
      </c>
      <c r="C39" s="116" t="s">
        <v>44</v>
      </c>
      <c r="D39" s="116"/>
      <c r="E39" s="50" t="s">
        <v>22</v>
      </c>
      <c r="F39" s="120"/>
      <c r="G39" s="112">
        <v>45.867</v>
      </c>
      <c r="H39" s="54">
        <v>30</v>
      </c>
      <c r="I39" s="119"/>
      <c r="J39" s="282">
        <v>25.223</v>
      </c>
      <c r="K39" s="124">
        <v>30</v>
      </c>
      <c r="L39" s="43">
        <f t="shared" si="2"/>
        <v>84.07666666666667</v>
      </c>
      <c r="M39" s="278"/>
      <c r="N39" s="56"/>
      <c r="O39" s="104"/>
      <c r="P39" s="122"/>
      <c r="Q39" s="45">
        <f>40795-40014</f>
        <v>781</v>
      </c>
      <c r="R39" s="45">
        <f>113</f>
        <v>113</v>
      </c>
      <c r="S39" s="114"/>
    </row>
    <row r="40" spans="1:19" s="115" customFormat="1" ht="29.25" customHeight="1">
      <c r="A40" s="299"/>
      <c r="B40" s="69" t="s">
        <v>27</v>
      </c>
      <c r="C40" s="291" t="s">
        <v>45</v>
      </c>
      <c r="D40" s="291"/>
      <c r="E40" s="50" t="s">
        <v>22</v>
      </c>
      <c r="F40" s="111">
        <v>38.317</v>
      </c>
      <c r="G40" s="112">
        <v>8.025</v>
      </c>
      <c r="H40" s="119">
        <v>6.4</v>
      </c>
      <c r="I40" s="119"/>
      <c r="J40" s="121">
        <v>5.45</v>
      </c>
      <c r="K40" s="43">
        <v>6.4</v>
      </c>
      <c r="L40" s="43">
        <f t="shared" si="2"/>
        <v>85.15625</v>
      </c>
      <c r="M40" s="277"/>
      <c r="N40" s="56"/>
      <c r="O40" s="104"/>
      <c r="P40" s="122"/>
      <c r="Q40" s="45"/>
      <c r="R40" s="45">
        <f>113.48-109.93</f>
        <v>3.549999999999997</v>
      </c>
      <c r="S40" s="114"/>
    </row>
    <row r="41" spans="1:19" s="115" customFormat="1" ht="29.25" customHeight="1">
      <c r="A41" s="299"/>
      <c r="B41" s="69" t="s">
        <v>27</v>
      </c>
      <c r="C41" s="291" t="s">
        <v>46</v>
      </c>
      <c r="D41" s="291"/>
      <c r="E41" s="50" t="s">
        <v>22</v>
      </c>
      <c r="F41" s="111"/>
      <c r="G41" s="112">
        <v>0.3</v>
      </c>
      <c r="H41" s="119">
        <v>1</v>
      </c>
      <c r="I41" s="119"/>
      <c r="J41" s="121"/>
      <c r="K41" s="43">
        <v>1</v>
      </c>
      <c r="L41" s="43">
        <f t="shared" si="2"/>
        <v>0</v>
      </c>
      <c r="M41" s="277"/>
      <c r="N41" s="56"/>
      <c r="O41" s="104"/>
      <c r="P41" s="44">
        <f>H38+H39+H41</f>
        <v>101.7</v>
      </c>
      <c r="Q41" s="45"/>
      <c r="R41" s="45">
        <f>113.48-109.93</f>
        <v>3.549999999999997</v>
      </c>
      <c r="S41" s="114"/>
    </row>
    <row r="42" spans="1:19" s="115" customFormat="1" ht="29.25" customHeight="1">
      <c r="A42" s="288"/>
      <c r="B42" s="69" t="s">
        <v>24</v>
      </c>
      <c r="C42" s="291" t="s">
        <v>47</v>
      </c>
      <c r="D42" s="291"/>
      <c r="E42" s="50" t="s">
        <v>22</v>
      </c>
      <c r="F42" s="111"/>
      <c r="G42" s="112">
        <v>3.1</v>
      </c>
      <c r="H42" s="121"/>
      <c r="I42" s="119"/>
      <c r="J42" s="121"/>
      <c r="K42" s="43"/>
      <c r="L42" s="43"/>
      <c r="M42" s="277"/>
      <c r="N42" s="56"/>
      <c r="O42" s="104"/>
      <c r="P42" s="44"/>
      <c r="Q42" s="45"/>
      <c r="R42" s="45"/>
      <c r="S42" s="114"/>
    </row>
    <row r="43" spans="1:19" s="115" customFormat="1" ht="29.25" customHeight="1">
      <c r="A43" s="23"/>
      <c r="B43" s="69" t="s">
        <v>48</v>
      </c>
      <c r="C43" s="325" t="s">
        <v>49</v>
      </c>
      <c r="D43" s="326"/>
      <c r="E43" s="16" t="s">
        <v>22</v>
      </c>
      <c r="F43" s="125">
        <v>471.338</v>
      </c>
      <c r="G43" s="106">
        <v>422.834</v>
      </c>
      <c r="H43" s="107">
        <v>421.109</v>
      </c>
      <c r="I43" s="126"/>
      <c r="J43" s="107">
        <v>178.97</v>
      </c>
      <c r="K43" s="107">
        <v>421.109</v>
      </c>
      <c r="L43" s="31">
        <f t="shared" si="2"/>
        <v>42.49968535462315</v>
      </c>
      <c r="M43" s="275"/>
      <c r="N43" s="32"/>
      <c r="O43" s="99"/>
      <c r="P43" s="34"/>
      <c r="Q43" s="327" t="s">
        <v>50</v>
      </c>
      <c r="R43" s="327"/>
      <c r="S43" s="114"/>
    </row>
    <row r="44" spans="1:19" s="115" customFormat="1" ht="29.25" customHeight="1">
      <c r="A44" s="23"/>
      <c r="B44" s="69"/>
      <c r="C44" s="328" t="s">
        <v>23</v>
      </c>
      <c r="D44" s="318"/>
      <c r="E44" s="75"/>
      <c r="F44" s="127"/>
      <c r="G44" s="42"/>
      <c r="H44" s="119"/>
      <c r="I44" s="119"/>
      <c r="J44" s="119"/>
      <c r="K44" s="43"/>
      <c r="L44" s="43"/>
      <c r="M44" s="279"/>
      <c r="N44" s="56"/>
      <c r="O44" s="104"/>
      <c r="P44" s="44"/>
      <c r="Q44" s="128"/>
      <c r="R44" s="45"/>
      <c r="S44" s="114"/>
    </row>
    <row r="45" spans="1:24" s="115" customFormat="1" ht="52.5" customHeight="1">
      <c r="A45" s="23"/>
      <c r="B45" s="69" t="s">
        <v>24</v>
      </c>
      <c r="C45" s="328" t="s">
        <v>51</v>
      </c>
      <c r="D45" s="318"/>
      <c r="E45" s="75" t="s">
        <v>22</v>
      </c>
      <c r="F45" s="127">
        <v>50.964</v>
      </c>
      <c r="G45" s="112">
        <v>55.86</v>
      </c>
      <c r="H45" s="121">
        <v>75.214</v>
      </c>
      <c r="I45" s="121"/>
      <c r="J45" s="43">
        <v>18</v>
      </c>
      <c r="K45" s="121">
        <v>75.214</v>
      </c>
      <c r="L45" s="43">
        <f>J45/H45*100</f>
        <v>23.93171484032228</v>
      </c>
      <c r="M45" s="280"/>
      <c r="N45" s="56"/>
      <c r="O45" s="104"/>
      <c r="P45" s="104" t="s">
        <v>52</v>
      </c>
      <c r="Q45" s="128"/>
      <c r="R45" s="45"/>
      <c r="S45" s="114">
        <v>14.15</v>
      </c>
      <c r="T45" s="115">
        <v>30</v>
      </c>
      <c r="U45" s="115">
        <v>5</v>
      </c>
      <c r="V45" s="115">
        <v>16</v>
      </c>
      <c r="W45" s="115">
        <v>8.24</v>
      </c>
      <c r="X45" s="115">
        <v>1.7</v>
      </c>
    </row>
    <row r="46" spans="1:19" s="38" customFormat="1" ht="39.75" customHeight="1">
      <c r="A46" s="308">
        <v>6</v>
      </c>
      <c r="B46" s="312" t="s">
        <v>53</v>
      </c>
      <c r="C46" s="312"/>
      <c r="D46" s="312"/>
      <c r="E46" s="16"/>
      <c r="F46" s="41"/>
      <c r="G46" s="42"/>
      <c r="H46" s="129"/>
      <c r="I46" s="129"/>
      <c r="J46" s="129"/>
      <c r="K46" s="43"/>
      <c r="L46" s="43"/>
      <c r="M46" s="129"/>
      <c r="N46" s="56"/>
      <c r="O46" s="130"/>
      <c r="P46" s="44"/>
      <c r="Q46" s="131"/>
      <c r="R46" s="131"/>
      <c r="S46" s="37"/>
    </row>
    <row r="47" spans="1:19" s="47" customFormat="1" ht="29.25" customHeight="1">
      <c r="A47" s="308"/>
      <c r="B47" s="75" t="s">
        <v>24</v>
      </c>
      <c r="C47" s="39" t="s">
        <v>54</v>
      </c>
      <c r="D47" s="132"/>
      <c r="E47" s="133" t="s">
        <v>32</v>
      </c>
      <c r="F47" s="134">
        <v>44.55</v>
      </c>
      <c r="G47" s="135">
        <v>53.2</v>
      </c>
      <c r="H47" s="136">
        <v>56</v>
      </c>
      <c r="I47" s="136"/>
      <c r="J47" s="129">
        <v>59</v>
      </c>
      <c r="K47" s="43">
        <v>61</v>
      </c>
      <c r="L47" s="43">
        <f>J47/H47*100</f>
        <v>105.35714285714286</v>
      </c>
      <c r="M47" s="136">
        <v>63</v>
      </c>
      <c r="N47" s="56"/>
      <c r="O47" s="130"/>
      <c r="P47" s="90"/>
      <c r="Q47" s="131"/>
      <c r="R47" s="131"/>
      <c r="S47" s="46"/>
    </row>
    <row r="48" spans="1:19" s="47" customFormat="1" ht="29.25" customHeight="1">
      <c r="A48" s="308"/>
      <c r="B48" s="75" t="s">
        <v>24</v>
      </c>
      <c r="C48" s="39" t="s">
        <v>55</v>
      </c>
      <c r="E48" s="133" t="s">
        <v>32</v>
      </c>
      <c r="F48" s="134">
        <v>35.5</v>
      </c>
      <c r="G48" s="135">
        <v>50</v>
      </c>
      <c r="H48" s="136">
        <v>60</v>
      </c>
      <c r="I48" s="136"/>
      <c r="J48" s="136">
        <v>52</v>
      </c>
      <c r="K48" s="43">
        <v>60</v>
      </c>
      <c r="L48" s="43">
        <f aca="true" t="shared" si="3" ref="L48:L58">J48/H48*100</f>
        <v>86.66666666666667</v>
      </c>
      <c r="M48" s="136">
        <v>65</v>
      </c>
      <c r="N48" s="56"/>
      <c r="O48" s="130"/>
      <c r="P48" s="90"/>
      <c r="Q48" s="137"/>
      <c r="R48" s="131"/>
      <c r="S48" s="46"/>
    </row>
    <row r="49" spans="1:19" s="47" customFormat="1" ht="29.25" customHeight="1">
      <c r="A49" s="308"/>
      <c r="B49" s="16" t="s">
        <v>24</v>
      </c>
      <c r="C49" s="39" t="s">
        <v>56</v>
      </c>
      <c r="D49" s="28"/>
      <c r="E49" s="75" t="s">
        <v>32</v>
      </c>
      <c r="F49" s="138">
        <v>100</v>
      </c>
      <c r="G49" s="42">
        <v>100</v>
      </c>
      <c r="H49" s="136">
        <v>100</v>
      </c>
      <c r="I49" s="136"/>
      <c r="J49" s="136">
        <v>100</v>
      </c>
      <c r="K49" s="43">
        <v>100</v>
      </c>
      <c r="L49" s="43">
        <f t="shared" si="3"/>
        <v>100</v>
      </c>
      <c r="M49" s="136">
        <v>100</v>
      </c>
      <c r="N49" s="56"/>
      <c r="O49" s="130"/>
      <c r="P49" s="90"/>
      <c r="Q49" s="131"/>
      <c r="R49" s="131"/>
      <c r="S49" s="46"/>
    </row>
    <row r="50" spans="1:19" s="47" customFormat="1" ht="29.25" customHeight="1">
      <c r="A50" s="298">
        <v>7</v>
      </c>
      <c r="B50" s="16"/>
      <c r="C50" s="139" t="s">
        <v>57</v>
      </c>
      <c r="D50" s="140"/>
      <c r="E50" s="75"/>
      <c r="F50" s="138"/>
      <c r="G50" s="42"/>
      <c r="H50" s="136"/>
      <c r="I50" s="136"/>
      <c r="J50" s="136"/>
      <c r="K50" s="43"/>
      <c r="L50" s="43"/>
      <c r="M50" s="136"/>
      <c r="N50" s="56"/>
      <c r="O50" s="130"/>
      <c r="P50" s="90"/>
      <c r="Q50" s="131"/>
      <c r="R50" s="131"/>
      <c r="S50" s="46"/>
    </row>
    <row r="51" spans="1:19" s="47" customFormat="1" ht="39.75" customHeight="1">
      <c r="A51" s="299"/>
      <c r="B51" s="75" t="s">
        <v>24</v>
      </c>
      <c r="C51" s="328" t="s">
        <v>58</v>
      </c>
      <c r="D51" s="318"/>
      <c r="E51" s="75" t="s">
        <v>32</v>
      </c>
      <c r="F51" s="138">
        <v>68</v>
      </c>
      <c r="G51" s="42">
        <v>77</v>
      </c>
      <c r="H51" s="136">
        <v>78</v>
      </c>
      <c r="I51" s="136"/>
      <c r="J51" s="56">
        <v>77.6</v>
      </c>
      <c r="K51" s="43">
        <v>78</v>
      </c>
      <c r="L51" s="43">
        <f t="shared" si="3"/>
        <v>99.48717948717947</v>
      </c>
      <c r="M51" s="136">
        <v>78</v>
      </c>
      <c r="N51" s="56"/>
      <c r="O51" s="141"/>
      <c r="P51" s="90"/>
      <c r="Q51" s="45"/>
      <c r="R51" s="45"/>
      <c r="S51" s="46"/>
    </row>
    <row r="52" spans="1:19" s="47" customFormat="1" ht="42" customHeight="1">
      <c r="A52" s="299"/>
      <c r="B52" s="75" t="s">
        <v>24</v>
      </c>
      <c r="C52" s="142" t="s">
        <v>59</v>
      </c>
      <c r="D52" s="75"/>
      <c r="E52" s="75" t="s">
        <v>32</v>
      </c>
      <c r="F52" s="111">
        <v>95.3</v>
      </c>
      <c r="G52" s="143">
        <v>95.6</v>
      </c>
      <c r="H52" s="129">
        <v>95.8</v>
      </c>
      <c r="I52" s="129"/>
      <c r="J52" s="129">
        <v>95.6</v>
      </c>
      <c r="K52" s="43">
        <v>95.8</v>
      </c>
      <c r="L52" s="43">
        <f t="shared" si="3"/>
        <v>99.79123173277662</v>
      </c>
      <c r="M52" s="129">
        <v>96</v>
      </c>
      <c r="N52" s="56"/>
      <c r="O52" s="130"/>
      <c r="P52" s="90"/>
      <c r="Q52" s="131"/>
      <c r="R52" s="131"/>
      <c r="S52" s="46"/>
    </row>
    <row r="53" spans="1:19" s="47" customFormat="1" ht="42.75" customHeight="1">
      <c r="A53" s="299"/>
      <c r="B53" s="75" t="s">
        <v>24</v>
      </c>
      <c r="C53" s="290" t="s">
        <v>60</v>
      </c>
      <c r="D53" s="290"/>
      <c r="E53" s="75" t="s">
        <v>32</v>
      </c>
      <c r="F53" s="111">
        <v>76.5</v>
      </c>
      <c r="G53" s="143">
        <v>77</v>
      </c>
      <c r="H53" s="136">
        <v>77.5</v>
      </c>
      <c r="I53" s="136"/>
      <c r="J53" s="129">
        <v>77.5</v>
      </c>
      <c r="K53" s="43">
        <v>78</v>
      </c>
      <c r="L53" s="43">
        <f t="shared" si="3"/>
        <v>100</v>
      </c>
      <c r="M53" s="129">
        <v>79</v>
      </c>
      <c r="N53" s="56"/>
      <c r="O53" s="130"/>
      <c r="P53" s="90"/>
      <c r="Q53" s="131"/>
      <c r="R53" s="131"/>
      <c r="S53" s="46"/>
    </row>
    <row r="54" spans="1:19" s="47" customFormat="1" ht="37.5" customHeight="1">
      <c r="A54" s="299"/>
      <c r="B54" s="75" t="s">
        <v>24</v>
      </c>
      <c r="C54" s="300" t="s">
        <v>61</v>
      </c>
      <c r="D54" s="300"/>
      <c r="E54" s="75" t="s">
        <v>32</v>
      </c>
      <c r="F54" s="111">
        <v>91</v>
      </c>
      <c r="G54" s="143">
        <v>96</v>
      </c>
      <c r="H54" s="136">
        <v>93</v>
      </c>
      <c r="I54" s="136"/>
      <c r="J54" s="136">
        <v>93</v>
      </c>
      <c r="K54" s="43">
        <v>93</v>
      </c>
      <c r="L54" s="43">
        <f t="shared" si="3"/>
        <v>100</v>
      </c>
      <c r="M54" s="136">
        <v>93</v>
      </c>
      <c r="N54" s="56"/>
      <c r="O54" s="130"/>
      <c r="P54" s="90"/>
      <c r="Q54" s="131"/>
      <c r="R54" s="131"/>
      <c r="S54" s="46"/>
    </row>
    <row r="55" spans="1:19" s="47" customFormat="1" ht="45" customHeight="1">
      <c r="A55" s="288"/>
      <c r="B55" s="16"/>
      <c r="C55" s="300" t="s">
        <v>62</v>
      </c>
      <c r="D55" s="300"/>
      <c r="E55" s="75" t="s">
        <v>32</v>
      </c>
      <c r="F55" s="111">
        <v>44.6</v>
      </c>
      <c r="G55" s="143">
        <v>46</v>
      </c>
      <c r="H55" s="136">
        <v>46</v>
      </c>
      <c r="I55" s="136"/>
      <c r="J55" s="136">
        <v>46</v>
      </c>
      <c r="K55" s="43">
        <v>46</v>
      </c>
      <c r="L55" s="43">
        <f t="shared" si="3"/>
        <v>100</v>
      </c>
      <c r="M55" s="136">
        <v>47</v>
      </c>
      <c r="N55" s="56"/>
      <c r="O55" s="141"/>
      <c r="P55" s="90"/>
      <c r="Q55" s="131"/>
      <c r="R55" s="131"/>
      <c r="S55" s="46"/>
    </row>
    <row r="56" spans="1:19" s="47" customFormat="1" ht="29.25" customHeight="1">
      <c r="A56" s="298">
        <v>8</v>
      </c>
      <c r="B56" s="16"/>
      <c r="C56" s="325" t="s">
        <v>63</v>
      </c>
      <c r="D56" s="326"/>
      <c r="E56" s="75"/>
      <c r="F56" s="111"/>
      <c r="G56" s="42"/>
      <c r="H56" s="136"/>
      <c r="I56" s="136"/>
      <c r="J56" s="136"/>
      <c r="K56" s="43"/>
      <c r="L56" s="43"/>
      <c r="M56" s="136"/>
      <c r="N56" s="56"/>
      <c r="O56" s="141"/>
      <c r="P56" s="90"/>
      <c r="Q56" s="131"/>
      <c r="R56" s="131"/>
      <c r="S56" s="46"/>
    </row>
    <row r="57" spans="1:19" s="47" customFormat="1" ht="39" customHeight="1">
      <c r="A57" s="299"/>
      <c r="B57" s="75" t="s">
        <v>24</v>
      </c>
      <c r="C57" s="39" t="s">
        <v>64</v>
      </c>
      <c r="D57" s="39"/>
      <c r="E57" s="75" t="s">
        <v>32</v>
      </c>
      <c r="F57" s="111">
        <v>98.5</v>
      </c>
      <c r="G57" s="135">
        <v>98.6</v>
      </c>
      <c r="H57" s="129">
        <v>98.7</v>
      </c>
      <c r="I57" s="129"/>
      <c r="J57" s="129">
        <v>98.6</v>
      </c>
      <c r="K57" s="43">
        <v>98.7</v>
      </c>
      <c r="L57" s="43">
        <f t="shared" si="3"/>
        <v>99.89868287740627</v>
      </c>
      <c r="M57" s="129">
        <v>99</v>
      </c>
      <c r="N57" s="56"/>
      <c r="O57" s="130"/>
      <c r="P57" s="90"/>
      <c r="Q57" s="131"/>
      <c r="R57" s="131"/>
      <c r="S57" s="46"/>
    </row>
    <row r="58" spans="1:19" s="47" customFormat="1" ht="30.75" customHeight="1">
      <c r="A58" s="288"/>
      <c r="B58" s="75" t="s">
        <v>24</v>
      </c>
      <c r="C58" s="39" t="s">
        <v>65</v>
      </c>
      <c r="D58" s="39"/>
      <c r="E58" s="75" t="s">
        <v>32</v>
      </c>
      <c r="F58" s="138">
        <v>100</v>
      </c>
      <c r="G58" s="42">
        <v>100</v>
      </c>
      <c r="H58" s="136">
        <v>100</v>
      </c>
      <c r="I58" s="136"/>
      <c r="J58" s="136">
        <v>100</v>
      </c>
      <c r="K58" s="43">
        <v>100</v>
      </c>
      <c r="L58" s="43">
        <f t="shared" si="3"/>
        <v>100</v>
      </c>
      <c r="M58" s="136">
        <v>100</v>
      </c>
      <c r="N58" s="56"/>
      <c r="O58" s="130"/>
      <c r="P58" s="90"/>
      <c r="Q58" s="131"/>
      <c r="R58" s="131"/>
      <c r="S58" s="46"/>
    </row>
    <row r="59" spans="1:19" s="47" customFormat="1" ht="29.25" customHeight="1">
      <c r="A59" s="16" t="s">
        <v>66</v>
      </c>
      <c r="B59" s="312" t="s">
        <v>67</v>
      </c>
      <c r="C59" s="312"/>
      <c r="D59" s="312"/>
      <c r="E59" s="40"/>
      <c r="F59" s="41"/>
      <c r="G59" s="42"/>
      <c r="H59" s="144"/>
      <c r="I59" s="144"/>
      <c r="J59" s="144"/>
      <c r="K59" s="43"/>
      <c r="L59" s="43"/>
      <c r="M59" s="144"/>
      <c r="N59" s="56"/>
      <c r="O59" s="113"/>
      <c r="P59" s="44"/>
      <c r="Q59" s="45"/>
      <c r="R59" s="45"/>
      <c r="S59" s="46"/>
    </row>
    <row r="60" spans="1:19" s="47" customFormat="1" ht="27.75" customHeight="1">
      <c r="A60" s="308">
        <v>1</v>
      </c>
      <c r="B60" s="28" t="s">
        <v>68</v>
      </c>
      <c r="C60" s="28"/>
      <c r="D60" s="28"/>
      <c r="E60" s="40"/>
      <c r="F60" s="41"/>
      <c r="G60" s="42"/>
      <c r="H60" s="144"/>
      <c r="I60" s="144"/>
      <c r="J60" s="144"/>
      <c r="K60" s="43"/>
      <c r="L60" s="43"/>
      <c r="M60" s="144"/>
      <c r="N60" s="56"/>
      <c r="O60" s="130"/>
      <c r="P60" s="44"/>
      <c r="Q60" s="45"/>
      <c r="R60" s="45"/>
      <c r="S60" s="46"/>
    </row>
    <row r="61" spans="1:19" s="47" customFormat="1" ht="30" customHeight="1">
      <c r="A61" s="308"/>
      <c r="B61" s="75" t="s">
        <v>24</v>
      </c>
      <c r="C61" s="39" t="s">
        <v>68</v>
      </c>
      <c r="D61" s="39"/>
      <c r="E61" s="75" t="s">
        <v>69</v>
      </c>
      <c r="F61" s="145">
        <v>103740</v>
      </c>
      <c r="G61" s="42">
        <v>108500</v>
      </c>
      <c r="H61" s="55">
        <v>110900</v>
      </c>
      <c r="I61" s="55">
        <v>108500</v>
      </c>
      <c r="J61" s="322" t="s">
        <v>33</v>
      </c>
      <c r="K61" s="124">
        <v>109200</v>
      </c>
      <c r="L61" s="43">
        <f>K61/H61*100</f>
        <v>98.46708746618576</v>
      </c>
      <c r="M61" s="274">
        <v>113200</v>
      </c>
      <c r="N61" s="56"/>
      <c r="O61" s="141"/>
      <c r="P61" s="315" t="s">
        <v>304</v>
      </c>
      <c r="Q61" s="316"/>
      <c r="R61" s="316"/>
      <c r="S61" s="46"/>
    </row>
    <row r="62" spans="1:19" s="47" customFormat="1" ht="30" customHeight="1">
      <c r="A62" s="308"/>
      <c r="B62" s="75" t="s">
        <v>24</v>
      </c>
      <c r="C62" s="39" t="s">
        <v>70</v>
      </c>
      <c r="D62" s="39"/>
      <c r="E62" s="75" t="s">
        <v>32</v>
      </c>
      <c r="F62" s="146">
        <v>1.65</v>
      </c>
      <c r="G62" s="135">
        <v>1.55</v>
      </c>
      <c r="H62" s="56">
        <v>1.5</v>
      </c>
      <c r="I62" s="56"/>
      <c r="J62" s="323"/>
      <c r="K62" s="43">
        <v>1.45</v>
      </c>
      <c r="L62" s="43">
        <f>K62/H62*100</f>
        <v>96.66666666666667</v>
      </c>
      <c r="M62" s="56">
        <v>1.45</v>
      </c>
      <c r="N62" s="56"/>
      <c r="O62" s="141"/>
      <c r="P62" s="90"/>
      <c r="Q62" s="45"/>
      <c r="R62" s="45"/>
      <c r="S62" s="46"/>
    </row>
    <row r="63" spans="1:19" s="47" customFormat="1" ht="30" customHeight="1">
      <c r="A63" s="308"/>
      <c r="B63" s="75" t="s">
        <v>24</v>
      </c>
      <c r="C63" s="39" t="s">
        <v>71</v>
      </c>
      <c r="D63" s="39"/>
      <c r="E63" s="75" t="s">
        <v>72</v>
      </c>
      <c r="F63" s="146">
        <v>0.8</v>
      </c>
      <c r="G63" s="135">
        <v>0.8</v>
      </c>
      <c r="H63" s="129">
        <v>0.8</v>
      </c>
      <c r="I63" s="129"/>
      <c r="J63" s="323"/>
      <c r="K63" s="43">
        <v>0.8</v>
      </c>
      <c r="L63" s="43">
        <f>K63/H63*100</f>
        <v>100</v>
      </c>
      <c r="M63" s="56">
        <v>0.7</v>
      </c>
      <c r="N63" s="56"/>
      <c r="O63" s="130"/>
      <c r="P63" s="44"/>
      <c r="Q63" s="45"/>
      <c r="R63" s="45"/>
      <c r="S63" s="46"/>
    </row>
    <row r="64" spans="1:19" s="47" customFormat="1" ht="30" customHeight="1">
      <c r="A64" s="308"/>
      <c r="B64" s="75" t="s">
        <v>24</v>
      </c>
      <c r="C64" s="39" t="s">
        <v>73</v>
      </c>
      <c r="D64" s="39"/>
      <c r="E64" s="75" t="s">
        <v>74</v>
      </c>
      <c r="F64" s="146">
        <v>73.8</v>
      </c>
      <c r="G64" s="135">
        <v>74</v>
      </c>
      <c r="H64" s="136">
        <v>74</v>
      </c>
      <c r="I64" s="136"/>
      <c r="J64" s="324"/>
      <c r="K64" s="43">
        <v>74</v>
      </c>
      <c r="L64" s="43">
        <f>K64/H64*100</f>
        <v>100</v>
      </c>
      <c r="M64" s="129">
        <v>74.5</v>
      </c>
      <c r="N64" s="56"/>
      <c r="O64" s="130"/>
      <c r="P64" s="44"/>
      <c r="Q64" s="45"/>
      <c r="R64" s="45"/>
      <c r="S64" s="46"/>
    </row>
    <row r="65" spans="1:19" s="47" customFormat="1" ht="39.75" customHeight="1">
      <c r="A65" s="308">
        <v>2</v>
      </c>
      <c r="B65" s="147" t="s">
        <v>75</v>
      </c>
      <c r="C65" s="142"/>
      <c r="D65" s="75"/>
      <c r="E65" s="75"/>
      <c r="F65" s="148"/>
      <c r="G65" s="42"/>
      <c r="H65" s="129"/>
      <c r="I65" s="129"/>
      <c r="J65" s="129"/>
      <c r="K65" s="43"/>
      <c r="L65" s="43"/>
      <c r="M65" s="129"/>
      <c r="N65" s="56"/>
      <c r="O65" s="130"/>
      <c r="P65" s="44"/>
      <c r="Q65" s="45"/>
      <c r="R65" s="45"/>
      <c r="S65" s="46"/>
    </row>
    <row r="66" spans="1:19" s="47" customFormat="1" ht="33.75" customHeight="1">
      <c r="A66" s="308"/>
      <c r="B66" s="16" t="s">
        <v>24</v>
      </c>
      <c r="C66" s="142" t="s">
        <v>76</v>
      </c>
      <c r="D66" s="75"/>
      <c r="E66" s="75" t="s">
        <v>77</v>
      </c>
      <c r="F66" s="145">
        <v>2344</v>
      </c>
      <c r="G66" s="42">
        <v>3500</v>
      </c>
      <c r="H66" s="55">
        <v>3500</v>
      </c>
      <c r="I66" s="55"/>
      <c r="J66" s="55">
        <v>1200</v>
      </c>
      <c r="K66" s="124">
        <v>3500</v>
      </c>
      <c r="L66" s="43">
        <f>J66/H66*100</f>
        <v>34.285714285714285</v>
      </c>
      <c r="M66" s="55">
        <v>3800</v>
      </c>
      <c r="N66" s="56"/>
      <c r="O66" s="141"/>
      <c r="P66" s="44"/>
      <c r="Q66" s="45"/>
      <c r="R66" s="45"/>
      <c r="S66" s="46"/>
    </row>
    <row r="67" spans="1:19" s="47" customFormat="1" ht="33.75" customHeight="1">
      <c r="A67" s="308"/>
      <c r="B67" s="16" t="s">
        <v>24</v>
      </c>
      <c r="C67" s="142" t="s">
        <v>78</v>
      </c>
      <c r="D67" s="75"/>
      <c r="E67" s="75" t="s">
        <v>77</v>
      </c>
      <c r="F67" s="145">
        <v>647</v>
      </c>
      <c r="G67" s="42">
        <v>1503</v>
      </c>
      <c r="H67" s="55">
        <v>1500</v>
      </c>
      <c r="I67" s="136"/>
      <c r="J67" s="55">
        <v>134</v>
      </c>
      <c r="K67" s="124">
        <v>1500</v>
      </c>
      <c r="L67" s="43">
        <f>J67/H67*100</f>
        <v>8.933333333333334</v>
      </c>
      <c r="M67" s="55">
        <v>1500</v>
      </c>
      <c r="N67" s="56"/>
      <c r="O67" s="141"/>
      <c r="P67" s="44"/>
      <c r="Q67" s="45"/>
      <c r="R67" s="45"/>
      <c r="S67" s="46"/>
    </row>
    <row r="68" spans="1:19" s="47" customFormat="1" ht="33.75" customHeight="1">
      <c r="A68" s="308"/>
      <c r="B68" s="16" t="s">
        <v>24</v>
      </c>
      <c r="C68" s="142" t="s">
        <v>79</v>
      </c>
      <c r="D68" s="75"/>
      <c r="E68" s="75" t="s">
        <v>32</v>
      </c>
      <c r="F68" s="145">
        <v>33</v>
      </c>
      <c r="G68" s="42">
        <v>34.5</v>
      </c>
      <c r="H68" s="129">
        <v>36</v>
      </c>
      <c r="I68" s="129"/>
      <c r="J68" s="149">
        <v>34</v>
      </c>
      <c r="K68" s="43">
        <v>36</v>
      </c>
      <c r="L68" s="43">
        <f>J68/H68*100</f>
        <v>94.44444444444444</v>
      </c>
      <c r="M68" s="149">
        <v>37</v>
      </c>
      <c r="N68" s="56"/>
      <c r="O68" s="130"/>
      <c r="P68" s="90"/>
      <c r="Q68" s="45"/>
      <c r="R68" s="45"/>
      <c r="S68" s="46"/>
    </row>
    <row r="69" spans="1:19" s="38" customFormat="1" ht="35.25" customHeight="1">
      <c r="A69" s="308">
        <v>3</v>
      </c>
      <c r="B69" s="147" t="s">
        <v>80</v>
      </c>
      <c r="C69" s="150"/>
      <c r="D69" s="151"/>
      <c r="E69" s="16"/>
      <c r="F69" s="148"/>
      <c r="G69" s="42"/>
      <c r="H69" s="129"/>
      <c r="I69" s="129"/>
      <c r="J69" s="129"/>
      <c r="K69" s="43"/>
      <c r="L69" s="43"/>
      <c r="M69" s="129"/>
      <c r="N69" s="56"/>
      <c r="O69" s="130"/>
      <c r="P69" s="44"/>
      <c r="Q69" s="45"/>
      <c r="R69" s="45"/>
      <c r="S69" s="37"/>
    </row>
    <row r="70" spans="1:19" s="157" customFormat="1" ht="33.75" customHeight="1">
      <c r="A70" s="308"/>
      <c r="B70" s="28" t="s">
        <v>24</v>
      </c>
      <c r="C70" s="152" t="s">
        <v>81</v>
      </c>
      <c r="D70" s="39"/>
      <c r="E70" s="79" t="s">
        <v>32</v>
      </c>
      <c r="F70" s="146">
        <v>7.74</v>
      </c>
      <c r="G70" s="153">
        <v>1.14</v>
      </c>
      <c r="H70" s="154" t="s">
        <v>82</v>
      </c>
      <c r="I70" s="154"/>
      <c r="J70" s="155" t="s">
        <v>33</v>
      </c>
      <c r="K70" s="43">
        <v>1</v>
      </c>
      <c r="L70" s="43"/>
      <c r="M70" s="154">
        <v>1</v>
      </c>
      <c r="N70" s="56"/>
      <c r="O70" s="104"/>
      <c r="P70" s="44"/>
      <c r="Q70" s="45"/>
      <c r="R70" s="45"/>
      <c r="S70" s="156"/>
    </row>
    <row r="71" spans="1:19" s="157" customFormat="1" ht="39.75" customHeight="1">
      <c r="A71" s="308"/>
      <c r="B71" s="28"/>
      <c r="C71" s="300" t="s">
        <v>83</v>
      </c>
      <c r="D71" s="289"/>
      <c r="E71" s="79" t="s">
        <v>32</v>
      </c>
      <c r="F71" s="158">
        <v>53.5</v>
      </c>
      <c r="G71" s="153">
        <v>4.7</v>
      </c>
      <c r="H71" s="154" t="s">
        <v>84</v>
      </c>
      <c r="I71" s="154"/>
      <c r="J71" s="154"/>
      <c r="K71" s="43">
        <v>4</v>
      </c>
      <c r="L71" s="43"/>
      <c r="M71" s="154">
        <v>4</v>
      </c>
      <c r="N71" s="56"/>
      <c r="O71" s="104"/>
      <c r="P71" s="44"/>
      <c r="Q71" s="45"/>
      <c r="R71" s="45"/>
      <c r="S71" s="156"/>
    </row>
    <row r="72" spans="1:19" s="47" customFormat="1" ht="29.25" customHeight="1">
      <c r="A72" s="298">
        <v>4</v>
      </c>
      <c r="B72" s="312" t="s">
        <v>85</v>
      </c>
      <c r="C72" s="312"/>
      <c r="D72" s="312"/>
      <c r="E72" s="75"/>
      <c r="F72" s="159"/>
      <c r="G72" s="160"/>
      <c r="H72" s="159"/>
      <c r="I72" s="159"/>
      <c r="J72" s="159"/>
      <c r="K72" s="43"/>
      <c r="L72" s="43"/>
      <c r="M72" s="159"/>
      <c r="N72" s="56"/>
      <c r="O72" s="130"/>
      <c r="P72" s="44"/>
      <c r="Q72" s="131"/>
      <c r="R72" s="131"/>
      <c r="S72" s="46"/>
    </row>
    <row r="73" spans="1:19" s="47" customFormat="1" ht="33" customHeight="1">
      <c r="A73" s="299"/>
      <c r="B73" s="16" t="s">
        <v>24</v>
      </c>
      <c r="C73" s="39" t="s">
        <v>86</v>
      </c>
      <c r="D73" s="39"/>
      <c r="E73" s="75" t="s">
        <v>32</v>
      </c>
      <c r="F73" s="145">
        <v>100</v>
      </c>
      <c r="G73" s="42">
        <v>100</v>
      </c>
      <c r="H73" s="136">
        <v>100</v>
      </c>
      <c r="I73" s="136"/>
      <c r="J73" s="136">
        <v>100</v>
      </c>
      <c r="K73" s="43">
        <v>100</v>
      </c>
      <c r="L73" s="43">
        <f>J73/H73*100</f>
        <v>100</v>
      </c>
      <c r="M73" s="136">
        <v>100</v>
      </c>
      <c r="N73" s="56"/>
      <c r="O73" s="130"/>
      <c r="P73" s="90"/>
      <c r="Q73" s="131"/>
      <c r="R73" s="131"/>
      <c r="S73" s="46"/>
    </row>
    <row r="74" spans="1:19" s="47" customFormat="1" ht="38.25" customHeight="1">
      <c r="A74" s="299"/>
      <c r="B74" s="16" t="s">
        <v>24</v>
      </c>
      <c r="C74" s="328" t="s">
        <v>87</v>
      </c>
      <c r="D74" s="318"/>
      <c r="E74" s="75" t="s">
        <v>88</v>
      </c>
      <c r="F74" s="146">
        <v>14.94</v>
      </c>
      <c r="G74" s="143">
        <v>16.25</v>
      </c>
      <c r="H74" s="56">
        <v>16.25</v>
      </c>
      <c r="I74" s="56"/>
      <c r="J74" s="56">
        <v>16.25</v>
      </c>
      <c r="K74" s="43">
        <v>16.25</v>
      </c>
      <c r="L74" s="43">
        <f>J74/H74*100</f>
        <v>100</v>
      </c>
      <c r="M74" s="56">
        <v>16.25</v>
      </c>
      <c r="N74" s="56"/>
      <c r="O74" s="141"/>
      <c r="P74" s="44" t="s">
        <v>89</v>
      </c>
      <c r="Q74" s="131"/>
      <c r="R74" s="131"/>
      <c r="S74" s="46"/>
    </row>
    <row r="75" spans="1:19" s="47" customFormat="1" ht="33" customHeight="1">
      <c r="A75" s="299"/>
      <c r="B75" s="16" t="s">
        <v>24</v>
      </c>
      <c r="C75" s="40" t="s">
        <v>90</v>
      </c>
      <c r="D75" s="40"/>
      <c r="E75" s="75" t="s">
        <v>91</v>
      </c>
      <c r="F75" s="146">
        <v>4.8</v>
      </c>
      <c r="G75" s="143">
        <v>5.2</v>
      </c>
      <c r="H75" s="129">
        <v>5.3</v>
      </c>
      <c r="I75" s="129"/>
      <c r="J75" s="129">
        <v>5.6</v>
      </c>
      <c r="K75" s="43">
        <v>5.6</v>
      </c>
      <c r="L75" s="43">
        <f>J75/H75*100</f>
        <v>105.66037735849056</v>
      </c>
      <c r="M75" s="129">
        <v>5.8</v>
      </c>
      <c r="N75" s="56"/>
      <c r="O75" s="130"/>
      <c r="P75" s="44"/>
      <c r="Q75" s="131"/>
      <c r="R75" s="131"/>
      <c r="S75" s="46"/>
    </row>
    <row r="76" spans="1:19" s="47" customFormat="1" ht="33" customHeight="1">
      <c r="A76" s="299"/>
      <c r="B76" s="16" t="s">
        <v>24</v>
      </c>
      <c r="C76" s="39" t="s">
        <v>92</v>
      </c>
      <c r="D76" s="39"/>
      <c r="E76" s="75" t="s">
        <v>32</v>
      </c>
      <c r="F76" s="145">
        <v>100</v>
      </c>
      <c r="G76" s="42">
        <v>100</v>
      </c>
      <c r="H76" s="136">
        <v>100</v>
      </c>
      <c r="I76" s="136"/>
      <c r="J76" s="136">
        <v>100</v>
      </c>
      <c r="K76" s="43">
        <v>100</v>
      </c>
      <c r="L76" s="43">
        <f aca="true" t="shared" si="4" ref="L76:L82">J76/H76*100</f>
        <v>100</v>
      </c>
      <c r="M76" s="136">
        <v>100</v>
      </c>
      <c r="N76" s="56"/>
      <c r="O76" s="130"/>
      <c r="P76" s="90"/>
      <c r="Q76" s="131"/>
      <c r="R76" s="131"/>
      <c r="S76" s="46"/>
    </row>
    <row r="77" spans="1:19" s="47" customFormat="1" ht="33" customHeight="1">
      <c r="A77" s="299"/>
      <c r="B77" s="16" t="s">
        <v>24</v>
      </c>
      <c r="C77" s="300" t="s">
        <v>93</v>
      </c>
      <c r="D77" s="300"/>
      <c r="E77" s="75" t="s">
        <v>32</v>
      </c>
      <c r="F77" s="145">
        <v>30</v>
      </c>
      <c r="G77" s="42">
        <v>70</v>
      </c>
      <c r="H77" s="136">
        <v>80</v>
      </c>
      <c r="I77" s="136"/>
      <c r="J77" s="136">
        <v>70</v>
      </c>
      <c r="K77" s="43">
        <v>80</v>
      </c>
      <c r="L77" s="43">
        <f t="shared" si="4"/>
        <v>87.5</v>
      </c>
      <c r="M77" s="136">
        <v>90</v>
      </c>
      <c r="N77" s="56"/>
      <c r="O77" s="130"/>
      <c r="P77" s="90"/>
      <c r="Q77" s="131"/>
      <c r="R77" s="131"/>
      <c r="S77" s="46"/>
    </row>
    <row r="78" spans="1:19" s="47" customFormat="1" ht="33" customHeight="1">
      <c r="A78" s="299"/>
      <c r="B78" s="16" t="s">
        <v>24</v>
      </c>
      <c r="C78" s="142" t="s">
        <v>94</v>
      </c>
      <c r="D78" s="75"/>
      <c r="E78" s="75" t="s">
        <v>32</v>
      </c>
      <c r="F78" s="146">
        <v>20</v>
      </c>
      <c r="G78" s="42">
        <v>19</v>
      </c>
      <c r="H78" s="129">
        <v>18.5</v>
      </c>
      <c r="I78" s="136"/>
      <c r="J78" s="136">
        <v>18</v>
      </c>
      <c r="K78" s="43">
        <v>18.5</v>
      </c>
      <c r="L78" s="43">
        <f t="shared" si="4"/>
        <v>97.2972972972973</v>
      </c>
      <c r="M78" s="129">
        <v>18</v>
      </c>
      <c r="N78" s="56"/>
      <c r="O78" s="130"/>
      <c r="P78" s="90"/>
      <c r="Q78" s="131"/>
      <c r="R78" s="131"/>
      <c r="S78" s="46"/>
    </row>
    <row r="79" spans="1:19" s="47" customFormat="1" ht="33" customHeight="1">
      <c r="A79" s="299"/>
      <c r="B79" s="16"/>
      <c r="C79" s="142" t="s">
        <v>95</v>
      </c>
      <c r="D79" s="75"/>
      <c r="E79" s="75" t="s">
        <v>32</v>
      </c>
      <c r="F79" s="146"/>
      <c r="G79" s="42">
        <v>98</v>
      </c>
      <c r="H79" s="136">
        <v>98</v>
      </c>
      <c r="I79" s="136"/>
      <c r="J79" s="136">
        <v>98</v>
      </c>
      <c r="K79" s="43">
        <v>98</v>
      </c>
      <c r="L79" s="43">
        <f t="shared" si="4"/>
        <v>100</v>
      </c>
      <c r="M79" s="136">
        <v>98</v>
      </c>
      <c r="N79" s="56"/>
      <c r="O79" s="130"/>
      <c r="P79" s="90"/>
      <c r="Q79" s="131"/>
      <c r="R79" s="131"/>
      <c r="S79" s="46"/>
    </row>
    <row r="80" spans="1:19" s="47" customFormat="1" ht="31.5" customHeight="1">
      <c r="A80" s="288"/>
      <c r="B80" s="69" t="s">
        <v>24</v>
      </c>
      <c r="C80" s="49" t="s">
        <v>96</v>
      </c>
      <c r="D80" s="49"/>
      <c r="E80" s="50" t="s">
        <v>32</v>
      </c>
      <c r="F80" s="145">
        <v>65</v>
      </c>
      <c r="G80" s="42">
        <v>78</v>
      </c>
      <c r="H80" s="54">
        <v>80</v>
      </c>
      <c r="I80" s="54"/>
      <c r="J80" s="161">
        <v>75</v>
      </c>
      <c r="K80" s="43">
        <v>78</v>
      </c>
      <c r="L80" s="43">
        <f t="shared" si="4"/>
        <v>93.75</v>
      </c>
      <c r="M80" s="119">
        <v>80</v>
      </c>
      <c r="N80" s="56"/>
      <c r="O80" s="104"/>
      <c r="P80" s="162">
        <v>0.8823529411764706</v>
      </c>
      <c r="Q80" s="163">
        <v>0.11764705882352941</v>
      </c>
      <c r="R80" s="45"/>
      <c r="S80" s="46"/>
    </row>
    <row r="81" spans="1:19" s="47" customFormat="1" ht="30" customHeight="1">
      <c r="A81" s="298">
        <v>5</v>
      </c>
      <c r="B81" s="28" t="s">
        <v>97</v>
      </c>
      <c r="C81" s="139"/>
      <c r="D81" s="110"/>
      <c r="E81" s="164"/>
      <c r="F81" s="148"/>
      <c r="G81" s="42"/>
      <c r="H81" s="136"/>
      <c r="I81" s="136"/>
      <c r="J81" s="136"/>
      <c r="K81" s="43"/>
      <c r="L81" s="43"/>
      <c r="M81" s="136"/>
      <c r="N81" s="56"/>
      <c r="O81" s="130"/>
      <c r="P81" s="44"/>
      <c r="Q81" s="123"/>
      <c r="R81" s="45"/>
      <c r="S81" s="46"/>
    </row>
    <row r="82" spans="1:19" s="47" customFormat="1" ht="31.5" customHeight="1">
      <c r="A82" s="299"/>
      <c r="B82" s="16" t="s">
        <v>24</v>
      </c>
      <c r="C82" s="39" t="s">
        <v>98</v>
      </c>
      <c r="D82" s="39"/>
      <c r="E82" s="75" t="s">
        <v>32</v>
      </c>
      <c r="F82" s="145">
        <v>100</v>
      </c>
      <c r="G82" s="42">
        <v>100</v>
      </c>
      <c r="H82" s="136">
        <v>100</v>
      </c>
      <c r="I82" s="136"/>
      <c r="J82" s="136">
        <v>100</v>
      </c>
      <c r="K82" s="43">
        <v>100</v>
      </c>
      <c r="L82" s="43">
        <f t="shared" si="4"/>
        <v>100</v>
      </c>
      <c r="M82" s="136">
        <v>100</v>
      </c>
      <c r="N82" s="56"/>
      <c r="O82" s="130"/>
      <c r="P82" s="90"/>
      <c r="Q82" s="45"/>
      <c r="R82" s="45"/>
      <c r="S82" s="46"/>
    </row>
    <row r="83" spans="1:19" s="47" customFormat="1" ht="31.5" customHeight="1">
      <c r="A83" s="299"/>
      <c r="B83" s="75" t="s">
        <v>24</v>
      </c>
      <c r="C83" s="39" t="s">
        <v>99</v>
      </c>
      <c r="D83" s="39"/>
      <c r="E83" s="75" t="s">
        <v>100</v>
      </c>
      <c r="F83" s="145">
        <v>10</v>
      </c>
      <c r="G83" s="42">
        <v>10</v>
      </c>
      <c r="H83" s="136">
        <v>10</v>
      </c>
      <c r="I83" s="136"/>
      <c r="J83" s="136">
        <v>10</v>
      </c>
      <c r="K83" s="43">
        <v>10</v>
      </c>
      <c r="L83" s="43">
        <f>J83/H83*100</f>
        <v>100</v>
      </c>
      <c r="M83" s="136">
        <v>10</v>
      </c>
      <c r="N83" s="56"/>
      <c r="O83" s="130"/>
      <c r="P83" s="90"/>
      <c r="Q83" s="45"/>
      <c r="R83" s="45"/>
      <c r="S83" s="46"/>
    </row>
    <row r="84" spans="1:19" s="47" customFormat="1" ht="60.75" customHeight="1">
      <c r="A84" s="299"/>
      <c r="B84" s="75" t="s">
        <v>24</v>
      </c>
      <c r="C84" s="300" t="s">
        <v>101</v>
      </c>
      <c r="D84" s="300"/>
      <c r="E84" s="25" t="s">
        <v>102</v>
      </c>
      <c r="F84" s="145">
        <v>1</v>
      </c>
      <c r="G84" s="42">
        <v>3</v>
      </c>
      <c r="H84" s="141" t="s">
        <v>103</v>
      </c>
      <c r="I84" s="141"/>
      <c r="J84" s="141"/>
      <c r="K84" s="43">
        <v>3</v>
      </c>
      <c r="L84" s="43">
        <v>150</v>
      </c>
      <c r="M84" s="141">
        <v>2</v>
      </c>
      <c r="N84" s="56"/>
      <c r="O84" s="130"/>
      <c r="P84" s="90"/>
      <c r="Q84" s="45"/>
      <c r="R84" s="45"/>
      <c r="S84" s="46"/>
    </row>
    <row r="85" spans="1:19" s="47" customFormat="1" ht="31.5" customHeight="1">
      <c r="A85" s="299"/>
      <c r="B85" s="75" t="s">
        <v>24</v>
      </c>
      <c r="C85" s="116" t="s">
        <v>104</v>
      </c>
      <c r="D85" s="116"/>
      <c r="E85" s="50" t="s">
        <v>32</v>
      </c>
      <c r="F85" s="158">
        <v>99.3</v>
      </c>
      <c r="G85" s="135">
        <v>99.6</v>
      </c>
      <c r="H85" s="119">
        <v>99.6</v>
      </c>
      <c r="I85" s="119"/>
      <c r="J85" s="119">
        <v>99.6</v>
      </c>
      <c r="K85" s="43">
        <v>99.6</v>
      </c>
      <c r="L85" s="43">
        <v>100</v>
      </c>
      <c r="M85" s="119">
        <v>99.7</v>
      </c>
      <c r="N85" s="56"/>
      <c r="O85" s="130"/>
      <c r="P85" s="90"/>
      <c r="Q85" s="45"/>
      <c r="R85" s="45"/>
      <c r="S85" s="46"/>
    </row>
    <row r="86" spans="1:19" s="47" customFormat="1" ht="31.5" customHeight="1">
      <c r="A86" s="299"/>
      <c r="B86" s="75" t="s">
        <v>24</v>
      </c>
      <c r="C86" s="301" t="s">
        <v>105</v>
      </c>
      <c r="D86" s="302"/>
      <c r="E86" s="50" t="s">
        <v>32</v>
      </c>
      <c r="F86" s="158">
        <v>97.5</v>
      </c>
      <c r="G86" s="42">
        <v>99</v>
      </c>
      <c r="H86" s="119">
        <v>99</v>
      </c>
      <c r="I86" s="119"/>
      <c r="J86" s="119">
        <v>99</v>
      </c>
      <c r="K86" s="43">
        <v>99</v>
      </c>
      <c r="L86" s="43">
        <f>J86/H86*100</f>
        <v>100</v>
      </c>
      <c r="M86" s="119">
        <v>99.1</v>
      </c>
      <c r="N86" s="56"/>
      <c r="O86" s="130"/>
      <c r="P86" s="90"/>
      <c r="Q86" s="45"/>
      <c r="R86" s="45"/>
      <c r="S86" s="46"/>
    </row>
    <row r="87" spans="1:19" s="47" customFormat="1" ht="31.5" customHeight="1">
      <c r="A87" s="299"/>
      <c r="B87" s="75" t="s">
        <v>24</v>
      </c>
      <c r="C87" s="301" t="s">
        <v>106</v>
      </c>
      <c r="D87" s="302"/>
      <c r="E87" s="50" t="s">
        <v>32</v>
      </c>
      <c r="F87" s="145">
        <v>95.5</v>
      </c>
      <c r="G87" s="42">
        <v>97</v>
      </c>
      <c r="H87" s="119">
        <v>97</v>
      </c>
      <c r="I87" s="119"/>
      <c r="J87" s="119">
        <v>97</v>
      </c>
      <c r="K87" s="43">
        <v>97</v>
      </c>
      <c r="L87" s="43">
        <f>J87/H87*100</f>
        <v>100</v>
      </c>
      <c r="M87" s="119">
        <v>97.1</v>
      </c>
      <c r="N87" s="56"/>
      <c r="O87" s="130"/>
      <c r="P87" s="90"/>
      <c r="Q87" s="45"/>
      <c r="R87" s="45"/>
      <c r="S87" s="46"/>
    </row>
    <row r="88" spans="1:19" s="47" customFormat="1" ht="31.5" customHeight="1">
      <c r="A88" s="299"/>
      <c r="B88" s="75" t="s">
        <v>24</v>
      </c>
      <c r="C88" s="301" t="s">
        <v>107</v>
      </c>
      <c r="D88" s="302"/>
      <c r="E88" s="50" t="s">
        <v>32</v>
      </c>
      <c r="F88" s="165">
        <v>70.5</v>
      </c>
      <c r="G88" s="166">
        <v>75.5</v>
      </c>
      <c r="H88" s="119">
        <v>75.5</v>
      </c>
      <c r="I88" s="119"/>
      <c r="J88" s="119">
        <v>75.5</v>
      </c>
      <c r="K88" s="43">
        <v>75.5</v>
      </c>
      <c r="L88" s="43">
        <f>J88/H88*100</f>
        <v>100</v>
      </c>
      <c r="M88" s="119">
        <v>75.6</v>
      </c>
      <c r="N88" s="56"/>
      <c r="O88" s="130"/>
      <c r="P88" s="90"/>
      <c r="Q88" s="45"/>
      <c r="R88" s="45"/>
      <c r="S88" s="46"/>
    </row>
    <row r="89" spans="1:19" s="47" customFormat="1" ht="39.75" customHeight="1">
      <c r="A89" s="308">
        <v>6</v>
      </c>
      <c r="B89" s="28" t="s">
        <v>108</v>
      </c>
      <c r="C89" s="167"/>
      <c r="D89" s="110"/>
      <c r="E89" s="75"/>
      <c r="F89" s="168"/>
      <c r="G89" s="42"/>
      <c r="H89" s="129"/>
      <c r="I89" s="129"/>
      <c r="J89" s="129"/>
      <c r="K89" s="43"/>
      <c r="L89" s="43"/>
      <c r="M89" s="129"/>
      <c r="N89" s="56"/>
      <c r="O89" s="130"/>
      <c r="P89" s="90"/>
      <c r="Q89" s="45"/>
      <c r="R89" s="45"/>
      <c r="S89" s="46"/>
    </row>
    <row r="90" spans="1:19" s="47" customFormat="1" ht="37.5" customHeight="1">
      <c r="A90" s="308"/>
      <c r="B90" s="75" t="s">
        <v>24</v>
      </c>
      <c r="C90" s="39" t="s">
        <v>109</v>
      </c>
      <c r="D90" s="39"/>
      <c r="E90" s="75" t="s">
        <v>32</v>
      </c>
      <c r="F90" s="146">
        <v>75.19</v>
      </c>
      <c r="G90" s="169">
        <v>76.6</v>
      </c>
      <c r="H90" s="170">
        <v>76.6</v>
      </c>
      <c r="I90" s="171"/>
      <c r="J90" s="309" t="s">
        <v>33</v>
      </c>
      <c r="K90" s="43">
        <v>76.6</v>
      </c>
      <c r="L90" s="43"/>
      <c r="M90" s="171">
        <v>77</v>
      </c>
      <c r="N90" s="56"/>
      <c r="O90" s="141"/>
      <c r="P90" s="90">
        <v>79</v>
      </c>
      <c r="Q90" s="45"/>
      <c r="R90" s="45"/>
      <c r="S90" s="46"/>
    </row>
    <row r="91" spans="1:19" s="47" customFormat="1" ht="36" customHeight="1">
      <c r="A91" s="308"/>
      <c r="B91" s="75" t="s">
        <v>24</v>
      </c>
      <c r="C91" s="39" t="s">
        <v>110</v>
      </c>
      <c r="D91" s="39"/>
      <c r="E91" s="75" t="s">
        <v>32</v>
      </c>
      <c r="F91" s="146">
        <v>79.28</v>
      </c>
      <c r="G91" s="169">
        <v>82.14</v>
      </c>
      <c r="H91" s="172">
        <v>82.14</v>
      </c>
      <c r="I91" s="173"/>
      <c r="J91" s="310"/>
      <c r="K91" s="43">
        <v>82.14</v>
      </c>
      <c r="L91" s="43">
        <f>J91/H91*100</f>
        <v>0</v>
      </c>
      <c r="M91" s="174">
        <v>83</v>
      </c>
      <c r="N91" s="56"/>
      <c r="O91" s="141"/>
      <c r="P91" s="90"/>
      <c r="Q91" s="45"/>
      <c r="R91" s="45"/>
      <c r="S91" s="46"/>
    </row>
    <row r="92" spans="1:19" s="47" customFormat="1" ht="30.75" customHeight="1">
      <c r="A92" s="308"/>
      <c r="B92" s="75" t="s">
        <v>24</v>
      </c>
      <c r="C92" s="39" t="s">
        <v>111</v>
      </c>
      <c r="D92" s="39"/>
      <c r="E92" s="75" t="s">
        <v>32</v>
      </c>
      <c r="F92" s="145">
        <v>50</v>
      </c>
      <c r="G92" s="169">
        <v>60</v>
      </c>
      <c r="H92" s="175">
        <v>60</v>
      </c>
      <c r="I92" s="173"/>
      <c r="J92" s="310"/>
      <c r="K92" s="43">
        <v>60</v>
      </c>
      <c r="L92" s="43">
        <f>J92/H92*100</f>
        <v>0</v>
      </c>
      <c r="M92" s="173">
        <v>70</v>
      </c>
      <c r="N92" s="56"/>
      <c r="O92" s="130"/>
      <c r="P92" s="90"/>
      <c r="Q92" s="45"/>
      <c r="R92" s="45"/>
      <c r="S92" s="46"/>
    </row>
    <row r="93" spans="1:19" s="47" customFormat="1" ht="30.75" customHeight="1">
      <c r="A93" s="308"/>
      <c r="B93" s="75" t="s">
        <v>24</v>
      </c>
      <c r="C93" s="39" t="s">
        <v>112</v>
      </c>
      <c r="D93" s="39"/>
      <c r="E93" s="75" t="s">
        <v>32</v>
      </c>
      <c r="F93" s="146">
        <v>93.33</v>
      </c>
      <c r="G93" s="153">
        <v>92.56</v>
      </c>
      <c r="H93" s="172">
        <v>92.56</v>
      </c>
      <c r="I93" s="173"/>
      <c r="J93" s="311"/>
      <c r="K93" s="43">
        <v>93</v>
      </c>
      <c r="L93" s="43">
        <f>J93/H93*100</f>
        <v>0</v>
      </c>
      <c r="M93" s="174">
        <v>97</v>
      </c>
      <c r="N93" s="56"/>
      <c r="O93" s="141"/>
      <c r="P93" s="90"/>
      <c r="Q93" s="45"/>
      <c r="R93" s="45"/>
      <c r="S93" s="46"/>
    </row>
    <row r="94" spans="1:19" s="47" customFormat="1" ht="31.5" customHeight="1">
      <c r="A94" s="85">
        <v>7</v>
      </c>
      <c r="B94" s="312" t="s">
        <v>113</v>
      </c>
      <c r="C94" s="312"/>
      <c r="D94" s="312"/>
      <c r="E94" s="75"/>
      <c r="F94" s="148"/>
      <c r="G94" s="42"/>
      <c r="H94" s="130"/>
      <c r="I94" s="130"/>
      <c r="J94" s="130"/>
      <c r="K94" s="43"/>
      <c r="L94" s="43"/>
      <c r="M94" s="130"/>
      <c r="N94" s="56"/>
      <c r="O94" s="130"/>
      <c r="P94" s="44"/>
      <c r="Q94" s="131"/>
      <c r="R94" s="131"/>
      <c r="S94" s="46"/>
    </row>
    <row r="95" spans="1:19" s="47" customFormat="1" ht="33" customHeight="1">
      <c r="A95" s="23"/>
      <c r="B95" s="16" t="s">
        <v>24</v>
      </c>
      <c r="C95" s="317" t="s">
        <v>114</v>
      </c>
      <c r="D95" s="318"/>
      <c r="E95" s="75" t="s">
        <v>115</v>
      </c>
      <c r="F95" s="176">
        <v>1</v>
      </c>
      <c r="G95" s="42">
        <v>1</v>
      </c>
      <c r="H95" s="177">
        <v>1</v>
      </c>
      <c r="I95" s="177"/>
      <c r="J95" s="177"/>
      <c r="K95" s="43">
        <v>1</v>
      </c>
      <c r="L95" s="43">
        <f>J95/H95*100</f>
        <v>0</v>
      </c>
      <c r="M95" s="177">
        <v>1</v>
      </c>
      <c r="N95" s="56"/>
      <c r="O95" s="130"/>
      <c r="P95" s="44"/>
      <c r="Q95" s="131"/>
      <c r="R95" s="131"/>
      <c r="S95" s="46"/>
    </row>
    <row r="96" spans="1:19" s="47" customFormat="1" ht="66" customHeight="1">
      <c r="A96" s="23"/>
      <c r="B96" s="16" t="s">
        <v>24</v>
      </c>
      <c r="C96" s="317" t="s">
        <v>116</v>
      </c>
      <c r="D96" s="318"/>
      <c r="E96" s="75" t="s">
        <v>32</v>
      </c>
      <c r="F96" s="176">
        <v>10</v>
      </c>
      <c r="G96" s="177" t="s">
        <v>117</v>
      </c>
      <c r="H96" s="177" t="s">
        <v>117</v>
      </c>
      <c r="I96" s="177"/>
      <c r="J96" s="177"/>
      <c r="K96" s="177" t="s">
        <v>117</v>
      </c>
      <c r="L96" s="43"/>
      <c r="M96" s="177" t="s">
        <v>117</v>
      </c>
      <c r="N96" s="56"/>
      <c r="O96" s="130"/>
      <c r="P96" s="44"/>
      <c r="Q96" s="131"/>
      <c r="R96" s="131"/>
      <c r="S96" s="46"/>
    </row>
    <row r="97" spans="1:18" s="47" customFormat="1" ht="37.5" customHeight="1">
      <c r="A97" s="16">
        <v>8</v>
      </c>
      <c r="B97" s="319" t="s">
        <v>118</v>
      </c>
      <c r="C97" s="320"/>
      <c r="D97" s="321"/>
      <c r="E97" s="75" t="s">
        <v>32</v>
      </c>
      <c r="F97" s="40">
        <v>31.3</v>
      </c>
      <c r="G97" s="143">
        <v>31.77</v>
      </c>
      <c r="H97" s="56">
        <v>31.87</v>
      </c>
      <c r="I97" s="56"/>
      <c r="J97" s="178" t="s">
        <v>33</v>
      </c>
      <c r="K97" s="43">
        <v>32.04</v>
      </c>
      <c r="L97" s="43">
        <f>K97/H97*100</f>
        <v>100.53341700658926</v>
      </c>
      <c r="M97" s="56">
        <v>32.04</v>
      </c>
      <c r="N97" s="56"/>
      <c r="O97" s="75"/>
      <c r="P97" s="179"/>
      <c r="Q97" s="180"/>
      <c r="R97" s="180"/>
    </row>
    <row r="98" spans="1:15" s="47" customFormat="1" ht="34.5" customHeight="1">
      <c r="A98" s="69">
        <v>9</v>
      </c>
      <c r="B98" s="305" t="s">
        <v>119</v>
      </c>
      <c r="C98" s="306"/>
      <c r="D98" s="307"/>
      <c r="E98" s="181" t="s">
        <v>32</v>
      </c>
      <c r="F98" s="182"/>
      <c r="G98" s="181">
        <v>100</v>
      </c>
      <c r="H98" s="183">
        <v>100</v>
      </c>
      <c r="I98" s="183"/>
      <c r="J98" s="183">
        <v>100</v>
      </c>
      <c r="K98" s="43">
        <v>100</v>
      </c>
      <c r="L98" s="43">
        <f>J98/H98*100</f>
        <v>100</v>
      </c>
      <c r="M98" s="183">
        <v>100</v>
      </c>
      <c r="N98" s="56"/>
      <c r="O98" s="181"/>
    </row>
    <row r="99" spans="17:18" ht="18.75">
      <c r="Q99" s="1" t="s">
        <v>120</v>
      </c>
      <c r="R99" s="1" t="s">
        <v>120</v>
      </c>
    </row>
    <row r="102" ht="18.75">
      <c r="J102" s="13" t="s">
        <v>120</v>
      </c>
    </row>
    <row r="163" ht="78.75" customHeight="1"/>
  </sheetData>
  <sheetProtection/>
  <mergeCells count="68">
    <mergeCell ref="A1:O1"/>
    <mergeCell ref="A2:O2"/>
    <mergeCell ref="A3:F3"/>
    <mergeCell ref="A4:F4"/>
    <mergeCell ref="A5:O5"/>
    <mergeCell ref="A7:A8"/>
    <mergeCell ref="B7:D8"/>
    <mergeCell ref="E7:E8"/>
    <mergeCell ref="F7:F8"/>
    <mergeCell ref="G7:G8"/>
    <mergeCell ref="H7:L7"/>
    <mergeCell ref="M7:M8"/>
    <mergeCell ref="N7:N8"/>
    <mergeCell ref="O7:O8"/>
    <mergeCell ref="B9:D9"/>
    <mergeCell ref="A10:A17"/>
    <mergeCell ref="B10:D10"/>
    <mergeCell ref="B11:D11"/>
    <mergeCell ref="A18:A25"/>
    <mergeCell ref="B18:D18"/>
    <mergeCell ref="B19:D19"/>
    <mergeCell ref="B25:D25"/>
    <mergeCell ref="A26:A32"/>
    <mergeCell ref="B26:D26"/>
    <mergeCell ref="B27:D27"/>
    <mergeCell ref="J28:J32"/>
    <mergeCell ref="A35:A42"/>
    <mergeCell ref="C40:D40"/>
    <mergeCell ref="C41:D41"/>
    <mergeCell ref="C42:D42"/>
    <mergeCell ref="A46:A49"/>
    <mergeCell ref="B46:D46"/>
    <mergeCell ref="A50:A55"/>
    <mergeCell ref="C51:D51"/>
    <mergeCell ref="C53:D53"/>
    <mergeCell ref="C54:D54"/>
    <mergeCell ref="C55:D55"/>
    <mergeCell ref="A65:A68"/>
    <mergeCell ref="A69:A71"/>
    <mergeCell ref="C71:D71"/>
    <mergeCell ref="A56:A58"/>
    <mergeCell ref="C56:D56"/>
    <mergeCell ref="B59:D59"/>
    <mergeCell ref="A60:A64"/>
    <mergeCell ref="A72:A80"/>
    <mergeCell ref="B72:D72"/>
    <mergeCell ref="C74:D74"/>
    <mergeCell ref="C77:D77"/>
    <mergeCell ref="A81:A88"/>
    <mergeCell ref="C84:D84"/>
    <mergeCell ref="C86:D86"/>
    <mergeCell ref="C87:D87"/>
    <mergeCell ref="C88:D88"/>
    <mergeCell ref="B98:D98"/>
    <mergeCell ref="A89:A93"/>
    <mergeCell ref="J90:J93"/>
    <mergeCell ref="B94:D94"/>
    <mergeCell ref="C95:D95"/>
    <mergeCell ref="P25:Q25"/>
    <mergeCell ref="P61:R61"/>
    <mergeCell ref="C96:D96"/>
    <mergeCell ref="B97:D97"/>
    <mergeCell ref="J61:J64"/>
    <mergeCell ref="C43:D43"/>
    <mergeCell ref="Q43:R43"/>
    <mergeCell ref="C44:D44"/>
    <mergeCell ref="C45:D45"/>
    <mergeCell ref="B34:D34"/>
  </mergeCells>
  <printOptions/>
  <pageMargins left="0.24" right="0.16" top="0.31" bottom="0.32" header="0.2" footer="0.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3"/>
  <sheetViews>
    <sheetView zoomScalePageLayoutView="0" workbookViewId="0" topLeftCell="A136">
      <selection activeCell="D144" sqref="D144:I152"/>
    </sheetView>
  </sheetViews>
  <sheetFormatPr defaultColWidth="8.88671875" defaultRowHeight="16.5"/>
  <cols>
    <col min="1" max="1" width="4.3359375" style="0" customWidth="1"/>
    <col min="2" max="2" width="20.88671875" style="0" customWidth="1"/>
    <col min="3" max="3" width="10.3359375" style="0" customWidth="1"/>
    <col min="4" max="4" width="9.21484375" style="0" customWidth="1"/>
    <col min="5" max="5" width="10.3359375" style="0" customWidth="1"/>
    <col min="6" max="6" width="10.99609375" style="0" customWidth="1"/>
    <col min="7" max="10" width="8.99609375" style="0" customWidth="1"/>
    <col min="15" max="15" width="7.4453125" style="0" bestFit="1" customWidth="1"/>
  </cols>
  <sheetData>
    <row r="1" spans="1:11" ht="16.5">
      <c r="A1" s="361" t="s">
        <v>121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</row>
    <row r="2" spans="1:11" ht="19.5">
      <c r="A2" s="362" t="s">
        <v>122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</row>
    <row r="3" spans="1:11" ht="16.5">
      <c r="A3" s="363" t="s">
        <v>4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</row>
    <row r="4" spans="1:13" ht="16.5">
      <c r="A4" s="364"/>
      <c r="B4" s="364"/>
      <c r="C4" s="364"/>
      <c r="D4" s="364"/>
      <c r="E4" s="364"/>
      <c r="F4" s="364"/>
      <c r="G4" s="364"/>
      <c r="H4" s="186"/>
      <c r="I4" s="186"/>
      <c r="J4" s="186"/>
      <c r="K4" s="187"/>
      <c r="L4" s="187"/>
      <c r="M4" s="187"/>
    </row>
    <row r="5" spans="1:11" ht="15" customHeight="1">
      <c r="A5" s="359" t="s">
        <v>5</v>
      </c>
      <c r="B5" s="360" t="s">
        <v>6</v>
      </c>
      <c r="C5" s="355" t="s">
        <v>123</v>
      </c>
      <c r="D5" s="356" t="s">
        <v>124</v>
      </c>
      <c r="E5" s="365" t="s">
        <v>125</v>
      </c>
      <c r="F5" s="366"/>
      <c r="G5" s="366"/>
      <c r="H5" s="367"/>
      <c r="I5" s="374" t="s">
        <v>126</v>
      </c>
      <c r="J5" s="374" t="s">
        <v>127</v>
      </c>
      <c r="K5" s="377" t="s">
        <v>13</v>
      </c>
    </row>
    <row r="6" spans="1:11" ht="15" customHeight="1">
      <c r="A6" s="359"/>
      <c r="B6" s="360"/>
      <c r="C6" s="355"/>
      <c r="D6" s="357"/>
      <c r="E6" s="368"/>
      <c r="F6" s="369"/>
      <c r="G6" s="369"/>
      <c r="H6" s="370"/>
      <c r="I6" s="375"/>
      <c r="J6" s="375"/>
      <c r="K6" s="378"/>
    </row>
    <row r="7" spans="1:11" ht="15" customHeight="1">
      <c r="A7" s="359"/>
      <c r="B7" s="360"/>
      <c r="C7" s="355"/>
      <c r="D7" s="357"/>
      <c r="E7" s="371"/>
      <c r="F7" s="372"/>
      <c r="G7" s="372"/>
      <c r="H7" s="373"/>
      <c r="I7" s="375"/>
      <c r="J7" s="375"/>
      <c r="K7" s="378"/>
    </row>
    <row r="8" spans="1:11" ht="72.75" customHeight="1">
      <c r="A8" s="359"/>
      <c r="B8" s="360"/>
      <c r="C8" s="355"/>
      <c r="D8" s="358"/>
      <c r="E8" s="189" t="s">
        <v>128</v>
      </c>
      <c r="F8" s="188" t="s">
        <v>129</v>
      </c>
      <c r="G8" s="188" t="s">
        <v>130</v>
      </c>
      <c r="H8" s="188" t="s">
        <v>131</v>
      </c>
      <c r="I8" s="376"/>
      <c r="J8" s="376"/>
      <c r="K8" s="379"/>
    </row>
    <row r="9" spans="1:11" ht="17.25">
      <c r="A9" s="190" t="s">
        <v>132</v>
      </c>
      <c r="B9" s="191" t="s">
        <v>133</v>
      </c>
      <c r="C9" s="192"/>
      <c r="D9" s="192"/>
      <c r="E9" s="193"/>
      <c r="F9" s="193"/>
      <c r="G9" s="193"/>
      <c r="H9" s="193"/>
      <c r="I9" s="193"/>
      <c r="J9" s="193"/>
      <c r="K9" s="194"/>
    </row>
    <row r="10" spans="1:16" ht="16.5">
      <c r="A10" s="195"/>
      <c r="B10" s="196" t="s">
        <v>134</v>
      </c>
      <c r="C10" s="191" t="s">
        <v>135</v>
      </c>
      <c r="D10" s="197">
        <f>D14+D80</f>
        <v>54034</v>
      </c>
      <c r="E10" s="197">
        <f>E16+E24+E32+E44+E62+E78+E80</f>
        <v>54262</v>
      </c>
      <c r="F10" s="197">
        <f>F14+F80</f>
        <v>45827</v>
      </c>
      <c r="G10" s="197">
        <f>G14+G80</f>
        <v>54345</v>
      </c>
      <c r="H10" s="197">
        <f>G10/D10*100</f>
        <v>100.57556353407114</v>
      </c>
      <c r="I10" s="197"/>
      <c r="J10" s="198"/>
      <c r="K10" s="194"/>
      <c r="P10">
        <f>26679+27247</f>
        <v>53926</v>
      </c>
    </row>
    <row r="11" spans="1:11" ht="16.5">
      <c r="A11" s="195"/>
      <c r="B11" s="196" t="s">
        <v>136</v>
      </c>
      <c r="C11" s="191" t="s">
        <v>137</v>
      </c>
      <c r="D11" s="199">
        <f>D12+D13</f>
        <v>92197</v>
      </c>
      <c r="E11" s="199">
        <f>E12+E13</f>
        <v>93103</v>
      </c>
      <c r="F11" s="200">
        <f>F15+F17+F23+F25</f>
        <v>55303</v>
      </c>
      <c r="G11" s="200">
        <f>G12+G13</f>
        <v>93403</v>
      </c>
      <c r="H11" s="197">
        <f aca="true" t="shared" si="0" ref="H11:H74">G11/D11*100</f>
        <v>101.30806859225355</v>
      </c>
      <c r="I11" s="199"/>
      <c r="J11" s="198"/>
      <c r="K11" s="194"/>
    </row>
    <row r="12" spans="1:11" ht="16.5">
      <c r="A12" s="195"/>
      <c r="B12" s="201" t="s">
        <v>138</v>
      </c>
      <c r="C12" s="202" t="s">
        <v>137</v>
      </c>
      <c r="D12" s="203">
        <v>9620</v>
      </c>
      <c r="E12" s="203">
        <v>9619</v>
      </c>
      <c r="F12" s="203">
        <f>F19+F21</f>
        <v>9620</v>
      </c>
      <c r="G12" s="203">
        <f>F12</f>
        <v>9620</v>
      </c>
      <c r="H12" s="204">
        <f t="shared" si="0"/>
        <v>100</v>
      </c>
      <c r="I12" s="203"/>
      <c r="J12" s="205"/>
      <c r="K12" s="194"/>
    </row>
    <row r="13" spans="1:14" ht="16.5">
      <c r="A13" s="195"/>
      <c r="B13" s="201" t="s">
        <v>139</v>
      </c>
      <c r="C13" s="202" t="s">
        <v>137</v>
      </c>
      <c r="D13" s="206">
        <v>82577</v>
      </c>
      <c r="E13" s="206">
        <v>83484</v>
      </c>
      <c r="F13" s="206">
        <f>F27+F29</f>
        <v>45683</v>
      </c>
      <c r="G13" s="206">
        <f>F13+G31</f>
        <v>83783</v>
      </c>
      <c r="H13" s="204">
        <f>G13/D13*100</f>
        <v>101.46045509040047</v>
      </c>
      <c r="I13" s="206"/>
      <c r="J13" s="205"/>
      <c r="K13" s="194"/>
      <c r="N13" t="s">
        <v>120</v>
      </c>
    </row>
    <row r="14" spans="1:11" ht="16.5">
      <c r="A14" s="190" t="s">
        <v>19</v>
      </c>
      <c r="B14" s="196" t="s">
        <v>140</v>
      </c>
      <c r="C14" s="191" t="s">
        <v>135</v>
      </c>
      <c r="D14" s="200">
        <f>D16+D24+D32+D44+D62+D78</f>
        <v>26728</v>
      </c>
      <c r="E14" s="200">
        <f>E16+E24+E32+E44+E62+E78</f>
        <v>26936</v>
      </c>
      <c r="F14" s="200">
        <f>SUM(F18+F20+F26+F28+F34+F38+F40+F48+F52+F56+F58+F66+F72+F76+F78)</f>
        <v>18471</v>
      </c>
      <c r="G14" s="200">
        <f>G16+G24+G32+G44+G62+G78</f>
        <v>26989</v>
      </c>
      <c r="H14" s="197">
        <f>G14/D14*100</f>
        <v>100.97650404070637</v>
      </c>
      <c r="I14" s="200"/>
      <c r="J14" s="198"/>
      <c r="K14" s="194"/>
    </row>
    <row r="15" spans="1:15" ht="16.5">
      <c r="A15" s="190">
        <v>1</v>
      </c>
      <c r="B15" s="196" t="s">
        <v>141</v>
      </c>
      <c r="C15" s="191" t="s">
        <v>135</v>
      </c>
      <c r="D15" s="200">
        <f>D17+D25</f>
        <v>92197</v>
      </c>
      <c r="E15" s="200">
        <f>E17+E25</f>
        <v>93103</v>
      </c>
      <c r="F15" s="200">
        <f>F19+F21+F27+F29</f>
        <v>55303</v>
      </c>
      <c r="G15" s="200">
        <f>G17+G25</f>
        <v>93403</v>
      </c>
      <c r="H15" s="197">
        <f t="shared" si="0"/>
        <v>101.30806859225355</v>
      </c>
      <c r="I15" s="200"/>
      <c r="J15" s="198"/>
      <c r="K15" s="194"/>
      <c r="O15" s="207">
        <f>E14+28309</f>
        <v>55245</v>
      </c>
    </row>
    <row r="16" spans="1:11" ht="16.5">
      <c r="A16" s="348" t="s">
        <v>142</v>
      </c>
      <c r="B16" s="353" t="s">
        <v>143</v>
      </c>
      <c r="C16" s="202" t="s">
        <v>135</v>
      </c>
      <c r="D16" s="206">
        <f>D18+D20</f>
        <v>1700</v>
      </c>
      <c r="E16" s="206">
        <f>E18+E20</f>
        <v>1700</v>
      </c>
      <c r="F16" s="206"/>
      <c r="G16" s="206">
        <f>G18+G20</f>
        <v>1700</v>
      </c>
      <c r="H16" s="204">
        <f t="shared" si="0"/>
        <v>100</v>
      </c>
      <c r="I16" s="206"/>
      <c r="J16" s="205"/>
      <c r="K16" s="194"/>
    </row>
    <row r="17" spans="1:11" ht="16.5">
      <c r="A17" s="348"/>
      <c r="B17" s="353"/>
      <c r="C17" s="202" t="s">
        <v>137</v>
      </c>
      <c r="D17" s="206">
        <f>D19+D21</f>
        <v>9620</v>
      </c>
      <c r="E17" s="206">
        <f>E19+E21</f>
        <v>9620</v>
      </c>
      <c r="F17" s="206"/>
      <c r="G17" s="206">
        <f>G19+G21</f>
        <v>9620</v>
      </c>
      <c r="H17" s="204">
        <f t="shared" si="0"/>
        <v>100</v>
      </c>
      <c r="I17" s="206"/>
      <c r="J17" s="205"/>
      <c r="K17" s="194"/>
    </row>
    <row r="18" spans="1:11" ht="16.5">
      <c r="A18" s="348"/>
      <c r="B18" s="353" t="s">
        <v>144</v>
      </c>
      <c r="C18" s="202" t="s">
        <v>135</v>
      </c>
      <c r="D18" s="208">
        <v>650</v>
      </c>
      <c r="E18" s="208">
        <v>650</v>
      </c>
      <c r="F18" s="208">
        <v>650</v>
      </c>
      <c r="G18" s="208">
        <v>650</v>
      </c>
      <c r="H18" s="204">
        <f t="shared" si="0"/>
        <v>100</v>
      </c>
      <c r="I18" s="208"/>
      <c r="J18" s="205"/>
      <c r="K18" s="194"/>
    </row>
    <row r="19" spans="1:16" ht="16.5">
      <c r="A19" s="348"/>
      <c r="B19" s="353"/>
      <c r="C19" s="202" t="s">
        <v>137</v>
      </c>
      <c r="D19" s="208">
        <v>3635</v>
      </c>
      <c r="E19" s="208">
        <v>3635</v>
      </c>
      <c r="F19" s="208">
        <v>3635</v>
      </c>
      <c r="G19" s="208">
        <v>3635</v>
      </c>
      <c r="H19" s="204">
        <f t="shared" si="0"/>
        <v>100</v>
      </c>
      <c r="I19" s="208"/>
      <c r="J19" s="205"/>
      <c r="K19" s="194"/>
      <c r="P19">
        <f>45322-44485</f>
        <v>837</v>
      </c>
    </row>
    <row r="20" spans="1:11" ht="16.5">
      <c r="A20" s="348"/>
      <c r="B20" s="353" t="s">
        <v>145</v>
      </c>
      <c r="C20" s="202" t="s">
        <v>135</v>
      </c>
      <c r="D20" s="208">
        <v>1050</v>
      </c>
      <c r="E20" s="208">
        <v>1050</v>
      </c>
      <c r="F20" s="208">
        <v>1050</v>
      </c>
      <c r="G20" s="208">
        <v>1050</v>
      </c>
      <c r="H20" s="204">
        <f t="shared" si="0"/>
        <v>100</v>
      </c>
      <c r="I20" s="208"/>
      <c r="J20" s="205"/>
      <c r="K20" s="194"/>
    </row>
    <row r="21" spans="1:16" ht="16.5">
      <c r="A21" s="348"/>
      <c r="B21" s="353"/>
      <c r="C21" s="202" t="s">
        <v>137</v>
      </c>
      <c r="D21" s="208">
        <v>5985</v>
      </c>
      <c r="E21" s="208">
        <v>5985</v>
      </c>
      <c r="F21" s="208">
        <v>5985</v>
      </c>
      <c r="G21" s="208">
        <v>5985</v>
      </c>
      <c r="H21" s="204">
        <f t="shared" si="0"/>
        <v>100</v>
      </c>
      <c r="I21" s="208"/>
      <c r="J21" s="205"/>
      <c r="K21" s="194"/>
      <c r="P21" s="207">
        <f>F15/51457</f>
        <v>1.074742017606934</v>
      </c>
    </row>
    <row r="22" spans="1:11" ht="16.5">
      <c r="A22" s="348" t="s">
        <v>146</v>
      </c>
      <c r="B22" s="353" t="s">
        <v>147</v>
      </c>
      <c r="C22" s="202" t="s">
        <v>135</v>
      </c>
      <c r="D22" s="208"/>
      <c r="E22" s="208"/>
      <c r="F22" s="208"/>
      <c r="G22" s="208"/>
      <c r="H22" s="197"/>
      <c r="I22" s="208"/>
      <c r="J22" s="205"/>
      <c r="K22" s="194"/>
    </row>
    <row r="23" spans="1:11" ht="16.5">
      <c r="A23" s="348"/>
      <c r="B23" s="353"/>
      <c r="C23" s="202" t="s">
        <v>137</v>
      </c>
      <c r="D23" s="208"/>
      <c r="E23" s="208"/>
      <c r="F23" s="208"/>
      <c r="G23" s="208"/>
      <c r="H23" s="197"/>
      <c r="I23" s="208"/>
      <c r="J23" s="205"/>
      <c r="K23" s="194"/>
    </row>
    <row r="24" spans="1:11" ht="16.5">
      <c r="A24" s="348" t="s">
        <v>148</v>
      </c>
      <c r="B24" s="353" t="s">
        <v>149</v>
      </c>
      <c r="C24" s="202" t="s">
        <v>135</v>
      </c>
      <c r="D24" s="203">
        <v>13840</v>
      </c>
      <c r="E24" s="203">
        <v>13915</v>
      </c>
      <c r="F24" s="203"/>
      <c r="G24" s="203">
        <f>G26+G28+G30</f>
        <v>13965</v>
      </c>
      <c r="H24" s="204">
        <f t="shared" si="0"/>
        <v>100.90317919075144</v>
      </c>
      <c r="I24" s="203"/>
      <c r="J24" s="205"/>
      <c r="K24" s="194"/>
    </row>
    <row r="25" spans="1:11" ht="16.5">
      <c r="A25" s="348"/>
      <c r="B25" s="353"/>
      <c r="C25" s="202" t="s">
        <v>137</v>
      </c>
      <c r="D25" s="203">
        <v>82577</v>
      </c>
      <c r="E25" s="203">
        <v>83483</v>
      </c>
      <c r="F25" s="203"/>
      <c r="G25" s="203">
        <f>G27+G29+G31</f>
        <v>83783</v>
      </c>
      <c r="H25" s="204">
        <f t="shared" si="0"/>
        <v>101.46045509040047</v>
      </c>
      <c r="I25" s="203"/>
      <c r="J25" s="205"/>
      <c r="K25" s="194"/>
    </row>
    <row r="26" spans="1:11" ht="16.5">
      <c r="A26" s="348"/>
      <c r="B26" s="353" t="s">
        <v>150</v>
      </c>
      <c r="C26" s="202" t="s">
        <v>135</v>
      </c>
      <c r="D26" s="208">
        <v>15</v>
      </c>
      <c r="E26" s="208">
        <v>15</v>
      </c>
      <c r="F26" s="208">
        <v>15</v>
      </c>
      <c r="G26" s="208">
        <v>15</v>
      </c>
      <c r="H26" s="204">
        <f t="shared" si="0"/>
        <v>100</v>
      </c>
      <c r="I26" s="208"/>
      <c r="J26" s="205"/>
      <c r="K26" s="194"/>
    </row>
    <row r="27" spans="1:11" ht="16.5">
      <c r="A27" s="348"/>
      <c r="B27" s="353"/>
      <c r="C27" s="202" t="s">
        <v>137</v>
      </c>
      <c r="D27" s="208">
        <v>82</v>
      </c>
      <c r="E27" s="208">
        <v>83</v>
      </c>
      <c r="F27" s="208">
        <v>83</v>
      </c>
      <c r="G27" s="208">
        <v>83</v>
      </c>
      <c r="H27" s="204">
        <f t="shared" si="0"/>
        <v>101.21951219512195</v>
      </c>
      <c r="I27" s="208"/>
      <c r="J27" s="205"/>
      <c r="K27" s="194"/>
    </row>
    <row r="28" spans="1:14" ht="16.5">
      <c r="A28" s="348"/>
      <c r="B28" s="353" t="s">
        <v>151</v>
      </c>
      <c r="C28" s="202" t="s">
        <v>135</v>
      </c>
      <c r="D28" s="208">
        <v>7700</v>
      </c>
      <c r="E28" s="208">
        <v>7650</v>
      </c>
      <c r="F28" s="208">
        <v>7600</v>
      </c>
      <c r="G28" s="208">
        <v>7600</v>
      </c>
      <c r="H28" s="204">
        <f t="shared" si="0"/>
        <v>98.7012987012987</v>
      </c>
      <c r="I28" s="208"/>
      <c r="J28" s="205"/>
      <c r="K28" s="194"/>
      <c r="M28">
        <f>14115-7665</f>
        <v>6450</v>
      </c>
      <c r="N28" s="209">
        <f>85455-F29</f>
        <v>39855</v>
      </c>
    </row>
    <row r="29" spans="1:14" ht="16.5">
      <c r="A29" s="348"/>
      <c r="B29" s="353"/>
      <c r="C29" s="202" t="s">
        <v>137</v>
      </c>
      <c r="D29" s="208">
        <v>46970</v>
      </c>
      <c r="E29" s="208">
        <v>45900</v>
      </c>
      <c r="F29" s="208">
        <v>45600</v>
      </c>
      <c r="G29" s="208">
        <v>45600</v>
      </c>
      <c r="H29" s="204">
        <f t="shared" si="0"/>
        <v>97.08324462422823</v>
      </c>
      <c r="I29" s="208"/>
      <c r="J29" s="205"/>
      <c r="K29" s="194"/>
      <c r="N29">
        <f>N28/6450</f>
        <v>6.17906976744186</v>
      </c>
    </row>
    <row r="30" spans="1:11" ht="16.5">
      <c r="A30" s="348"/>
      <c r="B30" s="353" t="s">
        <v>152</v>
      </c>
      <c r="C30" s="202" t="s">
        <v>135</v>
      </c>
      <c r="D30" s="208">
        <v>6125</v>
      </c>
      <c r="E30" s="208">
        <v>6250</v>
      </c>
      <c r="F30" s="208"/>
      <c r="G30" s="208">
        <v>6350</v>
      </c>
      <c r="H30" s="204">
        <f t="shared" si="0"/>
        <v>103.6734693877551</v>
      </c>
      <c r="I30" s="208"/>
      <c r="J30" s="205"/>
      <c r="K30" s="194"/>
    </row>
    <row r="31" spans="1:11" ht="16.5">
      <c r="A31" s="348"/>
      <c r="B31" s="353"/>
      <c r="C31" s="202" t="s">
        <v>137</v>
      </c>
      <c r="D31" s="208">
        <v>35525</v>
      </c>
      <c r="E31" s="208">
        <v>37500</v>
      </c>
      <c r="F31" s="208"/>
      <c r="G31" s="208">
        <f>G30*6</f>
        <v>38100</v>
      </c>
      <c r="H31" s="204">
        <f t="shared" si="0"/>
        <v>107.24841660802251</v>
      </c>
      <c r="I31" s="208"/>
      <c r="J31" s="205"/>
      <c r="K31" s="194"/>
    </row>
    <row r="32" spans="1:11" ht="16.5">
      <c r="A32" s="350">
        <v>2</v>
      </c>
      <c r="B32" s="352" t="s">
        <v>153</v>
      </c>
      <c r="C32" s="191" t="s">
        <v>135</v>
      </c>
      <c r="D32" s="200">
        <f>D34+D36</f>
        <v>2596</v>
      </c>
      <c r="E32" s="200">
        <f>E34+E36</f>
        <v>2661</v>
      </c>
      <c r="F32" s="200"/>
      <c r="G32" s="200">
        <f>G34+G36</f>
        <v>2659</v>
      </c>
      <c r="H32" s="197">
        <f t="shared" si="0"/>
        <v>102.42681047765794</v>
      </c>
      <c r="I32" s="200"/>
      <c r="J32" s="198"/>
      <c r="K32" s="194"/>
    </row>
    <row r="33" spans="1:11" ht="16.5">
      <c r="A33" s="350"/>
      <c r="B33" s="352"/>
      <c r="C33" s="191" t="s">
        <v>137</v>
      </c>
      <c r="D33" s="200">
        <f>D35+D37</f>
        <v>52944</v>
      </c>
      <c r="E33" s="200">
        <f>E35+E37</f>
        <v>51717</v>
      </c>
      <c r="F33" s="200"/>
      <c r="G33" s="200"/>
      <c r="H33" s="197">
        <f t="shared" si="0"/>
        <v>0</v>
      </c>
      <c r="I33" s="200"/>
      <c r="J33" s="198"/>
      <c r="K33" s="194"/>
    </row>
    <row r="34" spans="1:13" ht="16.5">
      <c r="A34" s="348" t="s">
        <v>154</v>
      </c>
      <c r="B34" s="353" t="s">
        <v>155</v>
      </c>
      <c r="C34" s="202" t="s">
        <v>135</v>
      </c>
      <c r="D34" s="208">
        <v>2253</v>
      </c>
      <c r="E34" s="208">
        <v>2300</v>
      </c>
      <c r="F34" s="208">
        <v>2300</v>
      </c>
      <c r="G34" s="208">
        <v>2300</v>
      </c>
      <c r="H34" s="204">
        <f t="shared" si="0"/>
        <v>102.0861074123391</v>
      </c>
      <c r="I34" s="208"/>
      <c r="J34" s="205"/>
      <c r="K34" s="194"/>
      <c r="M34">
        <f>D35/D34</f>
        <v>21.73102529960053</v>
      </c>
    </row>
    <row r="35" spans="1:11" ht="16.5">
      <c r="A35" s="348"/>
      <c r="B35" s="353"/>
      <c r="C35" s="202" t="s">
        <v>137</v>
      </c>
      <c r="D35" s="208">
        <v>48960</v>
      </c>
      <c r="E35" s="208">
        <v>47700</v>
      </c>
      <c r="F35" s="208">
        <v>47700</v>
      </c>
      <c r="G35" s="208">
        <v>47700</v>
      </c>
      <c r="H35" s="204">
        <f t="shared" si="0"/>
        <v>97.42647058823529</v>
      </c>
      <c r="I35" s="208"/>
      <c r="J35" s="205"/>
      <c r="K35" s="194"/>
    </row>
    <row r="36" spans="1:11" ht="16.5">
      <c r="A36" s="348" t="s">
        <v>156</v>
      </c>
      <c r="B36" s="353" t="s">
        <v>157</v>
      </c>
      <c r="C36" s="202" t="s">
        <v>135</v>
      </c>
      <c r="D36" s="203">
        <f>D38+D40+D42</f>
        <v>343</v>
      </c>
      <c r="E36" s="203">
        <f>E38+E40+E42</f>
        <v>361</v>
      </c>
      <c r="F36" s="203"/>
      <c r="G36" s="203">
        <f>G38+G40+G42</f>
        <v>359</v>
      </c>
      <c r="H36" s="204">
        <f t="shared" si="0"/>
        <v>104.66472303206997</v>
      </c>
      <c r="I36" s="203"/>
      <c r="J36" s="205"/>
      <c r="K36" s="194"/>
    </row>
    <row r="37" spans="1:11" ht="16.5">
      <c r="A37" s="348"/>
      <c r="B37" s="353"/>
      <c r="C37" s="202" t="s">
        <v>137</v>
      </c>
      <c r="D37" s="203">
        <f>D39+D41+D43</f>
        <v>3984</v>
      </c>
      <c r="E37" s="203">
        <f>E39+E41+E43</f>
        <v>4017</v>
      </c>
      <c r="F37" s="203"/>
      <c r="G37" s="203">
        <f>G39+G41+G43</f>
        <v>3995</v>
      </c>
      <c r="H37" s="204">
        <f t="shared" si="0"/>
        <v>100.27610441767068</v>
      </c>
      <c r="I37" s="203"/>
      <c r="J37" s="205"/>
      <c r="K37" s="194"/>
    </row>
    <row r="38" spans="1:11" ht="16.5">
      <c r="A38" s="348"/>
      <c r="B38" s="353" t="s">
        <v>158</v>
      </c>
      <c r="C38" s="202" t="s">
        <v>135</v>
      </c>
      <c r="D38" s="208">
        <v>46</v>
      </c>
      <c r="E38" s="208">
        <v>46</v>
      </c>
      <c r="F38" s="208">
        <v>46</v>
      </c>
      <c r="G38" s="208">
        <v>46</v>
      </c>
      <c r="H38" s="204">
        <f t="shared" si="0"/>
        <v>100</v>
      </c>
      <c r="I38" s="208"/>
      <c r="J38" s="205"/>
      <c r="K38" s="194"/>
    </row>
    <row r="39" spans="1:11" ht="16.5">
      <c r="A39" s="348"/>
      <c r="B39" s="353"/>
      <c r="C39" s="202" t="s">
        <v>137</v>
      </c>
      <c r="D39" s="208">
        <v>550</v>
      </c>
      <c r="E39" s="208">
        <v>552</v>
      </c>
      <c r="F39" s="208">
        <v>552</v>
      </c>
      <c r="G39" s="208">
        <v>552</v>
      </c>
      <c r="H39" s="204">
        <f t="shared" si="0"/>
        <v>100.36363636363636</v>
      </c>
      <c r="I39" s="208"/>
      <c r="J39" s="205"/>
      <c r="K39" s="194"/>
    </row>
    <row r="40" spans="1:13" ht="16.5">
      <c r="A40" s="348"/>
      <c r="B40" s="353" t="s">
        <v>159</v>
      </c>
      <c r="C40" s="202" t="s">
        <v>135</v>
      </c>
      <c r="D40" s="208">
        <v>152</v>
      </c>
      <c r="E40" s="208">
        <v>160</v>
      </c>
      <c r="F40" s="208">
        <v>155</v>
      </c>
      <c r="G40" s="208">
        <v>155</v>
      </c>
      <c r="H40" s="204">
        <f t="shared" si="0"/>
        <v>101.9736842105263</v>
      </c>
      <c r="I40" s="208"/>
      <c r="J40" s="205"/>
      <c r="K40" s="194"/>
      <c r="M40">
        <f>2715-2598</f>
        <v>117</v>
      </c>
    </row>
    <row r="41" spans="1:13" ht="16.5">
      <c r="A41" s="348"/>
      <c r="B41" s="353"/>
      <c r="C41" s="202" t="s">
        <v>137</v>
      </c>
      <c r="D41" s="208">
        <v>1824</v>
      </c>
      <c r="E41" s="208">
        <v>1760</v>
      </c>
      <c r="F41" s="208">
        <f>F40*11</f>
        <v>1705</v>
      </c>
      <c r="G41" s="208">
        <f>G40*11</f>
        <v>1705</v>
      </c>
      <c r="H41" s="204">
        <f t="shared" si="0"/>
        <v>93.47587719298247</v>
      </c>
      <c r="I41" s="208"/>
      <c r="J41" s="205"/>
      <c r="K41" s="194"/>
      <c r="M41">
        <f>F41/F40</f>
        <v>11</v>
      </c>
    </row>
    <row r="42" spans="1:11" ht="16.5">
      <c r="A42" s="348"/>
      <c r="B42" s="353" t="s">
        <v>160</v>
      </c>
      <c r="C42" s="202" t="s">
        <v>135</v>
      </c>
      <c r="D42" s="208">
        <v>145</v>
      </c>
      <c r="E42" s="208">
        <v>155</v>
      </c>
      <c r="F42" s="208"/>
      <c r="G42" s="208">
        <v>158</v>
      </c>
      <c r="H42" s="204">
        <f t="shared" si="0"/>
        <v>108.9655172413793</v>
      </c>
      <c r="I42" s="208"/>
      <c r="J42" s="205"/>
      <c r="K42" s="194"/>
    </row>
    <row r="43" spans="1:11" ht="16.5">
      <c r="A43" s="348"/>
      <c r="B43" s="353"/>
      <c r="C43" s="202" t="s">
        <v>137</v>
      </c>
      <c r="D43" s="208">
        <v>1610</v>
      </c>
      <c r="E43" s="208">
        <v>1705</v>
      </c>
      <c r="F43" s="208"/>
      <c r="G43" s="208">
        <f>G42*11</f>
        <v>1738</v>
      </c>
      <c r="H43" s="204">
        <f t="shared" si="0"/>
        <v>107.95031055900621</v>
      </c>
      <c r="I43" s="208"/>
      <c r="J43" s="205"/>
      <c r="K43" s="194"/>
    </row>
    <row r="44" spans="1:11" ht="16.5">
      <c r="A44" s="350">
        <v>3</v>
      </c>
      <c r="B44" s="352" t="s">
        <v>161</v>
      </c>
      <c r="C44" s="191" t="s">
        <v>135</v>
      </c>
      <c r="D44" s="200">
        <f>D46+D52+D54</f>
        <v>3938</v>
      </c>
      <c r="E44" s="200">
        <f>E46+E52+E54</f>
        <v>4040</v>
      </c>
      <c r="F44" s="200"/>
      <c r="G44" s="200">
        <f>G46+G52+G54</f>
        <v>4005</v>
      </c>
      <c r="H44" s="197">
        <f t="shared" si="0"/>
        <v>101.70137125444387</v>
      </c>
      <c r="I44" s="200"/>
      <c r="J44" s="198"/>
      <c r="K44" s="194"/>
    </row>
    <row r="45" spans="1:11" ht="16.5">
      <c r="A45" s="350"/>
      <c r="B45" s="352"/>
      <c r="C45" s="191" t="s">
        <v>137</v>
      </c>
      <c r="D45" s="200">
        <f>D47+D53+D55</f>
        <v>10102</v>
      </c>
      <c r="E45" s="200">
        <f>E47+E53+E55</f>
        <v>11099</v>
      </c>
      <c r="F45" s="200"/>
      <c r="G45" s="200"/>
      <c r="H45" s="197">
        <f t="shared" si="0"/>
        <v>0</v>
      </c>
      <c r="I45" s="200"/>
      <c r="J45" s="198"/>
      <c r="K45" s="194"/>
    </row>
    <row r="46" spans="1:11" ht="16.5">
      <c r="A46" s="348" t="s">
        <v>162</v>
      </c>
      <c r="B46" s="353" t="s">
        <v>163</v>
      </c>
      <c r="C46" s="202" t="s">
        <v>135</v>
      </c>
      <c r="D46" s="203">
        <f>D48+D50</f>
        <v>1275</v>
      </c>
      <c r="E46" s="203">
        <f>E48+E50</f>
        <v>1340</v>
      </c>
      <c r="F46" s="203"/>
      <c r="G46" s="203">
        <f>G48+G50</f>
        <v>1350</v>
      </c>
      <c r="H46" s="204">
        <f t="shared" si="0"/>
        <v>105.88235294117648</v>
      </c>
      <c r="I46" s="203"/>
      <c r="J46" s="205"/>
      <c r="K46" s="194"/>
    </row>
    <row r="47" spans="1:11" ht="16.5">
      <c r="A47" s="348"/>
      <c r="B47" s="353"/>
      <c r="C47" s="202" t="s">
        <v>137</v>
      </c>
      <c r="D47" s="203">
        <f>D49+D51</f>
        <v>1529</v>
      </c>
      <c r="E47" s="203">
        <f>E49+E51</f>
        <v>1608</v>
      </c>
      <c r="F47" s="203"/>
      <c r="G47" s="203">
        <f>G49+G51</f>
        <v>1620</v>
      </c>
      <c r="H47" s="204">
        <f t="shared" si="0"/>
        <v>105.95160235448004</v>
      </c>
      <c r="I47" s="203"/>
      <c r="J47" s="205"/>
      <c r="K47" s="194"/>
    </row>
    <row r="48" spans="1:11" ht="16.5">
      <c r="A48" s="348"/>
      <c r="B48" s="353" t="s">
        <v>164</v>
      </c>
      <c r="C48" s="202" t="s">
        <v>135</v>
      </c>
      <c r="D48" s="208">
        <v>1030</v>
      </c>
      <c r="E48" s="208">
        <v>1020</v>
      </c>
      <c r="F48" s="208">
        <v>1025</v>
      </c>
      <c r="G48" s="208">
        <v>1025</v>
      </c>
      <c r="H48" s="204">
        <f t="shared" si="0"/>
        <v>99.51456310679612</v>
      </c>
      <c r="I48" s="208"/>
      <c r="J48" s="205"/>
      <c r="K48" s="194"/>
    </row>
    <row r="49" spans="1:11" ht="16.5">
      <c r="A49" s="348"/>
      <c r="B49" s="353"/>
      <c r="C49" s="202" t="s">
        <v>137</v>
      </c>
      <c r="D49" s="208">
        <v>1248</v>
      </c>
      <c r="E49" s="208">
        <v>1224</v>
      </c>
      <c r="F49" s="208">
        <f>F48*1.2</f>
        <v>1230</v>
      </c>
      <c r="G49" s="208">
        <f>G48*1.2</f>
        <v>1230</v>
      </c>
      <c r="H49" s="204">
        <f t="shared" si="0"/>
        <v>98.5576923076923</v>
      </c>
      <c r="I49" s="208"/>
      <c r="J49" s="205"/>
      <c r="K49" s="194"/>
    </row>
    <row r="50" spans="1:11" ht="16.5">
      <c r="A50" s="348"/>
      <c r="B50" s="353" t="s">
        <v>165</v>
      </c>
      <c r="C50" s="202" t="s">
        <v>135</v>
      </c>
      <c r="D50" s="208">
        <v>245</v>
      </c>
      <c r="E50" s="208">
        <v>320</v>
      </c>
      <c r="F50" s="208"/>
      <c r="G50" s="208">
        <v>325</v>
      </c>
      <c r="H50" s="204">
        <f t="shared" si="0"/>
        <v>132.6530612244898</v>
      </c>
      <c r="I50" s="208"/>
      <c r="J50" s="205"/>
      <c r="K50" s="194"/>
    </row>
    <row r="51" spans="1:11" ht="16.5">
      <c r="A51" s="348"/>
      <c r="B51" s="353"/>
      <c r="C51" s="202" t="s">
        <v>137</v>
      </c>
      <c r="D51" s="208">
        <v>281</v>
      </c>
      <c r="E51" s="208">
        <v>384</v>
      </c>
      <c r="F51" s="208"/>
      <c r="G51" s="208">
        <f>G50*1.2</f>
        <v>390</v>
      </c>
      <c r="H51" s="204">
        <f t="shared" si="0"/>
        <v>138.7900355871886</v>
      </c>
      <c r="I51" s="208"/>
      <c r="J51" s="205"/>
      <c r="K51" s="194"/>
    </row>
    <row r="52" spans="1:11" ht="16.5">
      <c r="A52" s="348" t="s">
        <v>166</v>
      </c>
      <c r="B52" s="349" t="s">
        <v>167</v>
      </c>
      <c r="C52" s="202" t="s">
        <v>135</v>
      </c>
      <c r="D52" s="208">
        <v>2180</v>
      </c>
      <c r="E52" s="208">
        <v>2150</v>
      </c>
      <c r="F52" s="208">
        <v>2101</v>
      </c>
      <c r="G52" s="208">
        <v>2101</v>
      </c>
      <c r="H52" s="204">
        <f t="shared" si="0"/>
        <v>96.37614678899082</v>
      </c>
      <c r="I52" s="208"/>
      <c r="J52" s="205"/>
      <c r="K52" s="194"/>
    </row>
    <row r="53" spans="1:11" ht="16.5">
      <c r="A53" s="348"/>
      <c r="B53" s="349"/>
      <c r="C53" s="202" t="s">
        <v>137</v>
      </c>
      <c r="D53" s="208">
        <v>2729</v>
      </c>
      <c r="E53" s="208">
        <v>2795</v>
      </c>
      <c r="F53" s="208">
        <f>F52*1.3</f>
        <v>2731.3</v>
      </c>
      <c r="G53" s="208">
        <f>G52*1.3</f>
        <v>2731.3</v>
      </c>
      <c r="H53" s="204">
        <f t="shared" si="0"/>
        <v>100.08427995602787</v>
      </c>
      <c r="I53" s="208"/>
      <c r="J53" s="205"/>
      <c r="K53" s="194"/>
    </row>
    <row r="54" spans="1:11" ht="16.5">
      <c r="A54" s="348" t="s">
        <v>168</v>
      </c>
      <c r="B54" s="353" t="s">
        <v>169</v>
      </c>
      <c r="C54" s="202" t="s">
        <v>135</v>
      </c>
      <c r="D54" s="210">
        <v>483</v>
      </c>
      <c r="E54" s="210">
        <v>550</v>
      </c>
      <c r="F54" s="210"/>
      <c r="G54" s="210">
        <f>G56+G58+G60</f>
        <v>554</v>
      </c>
      <c r="H54" s="204">
        <f t="shared" si="0"/>
        <v>114.69979296066253</v>
      </c>
      <c r="I54" s="210"/>
      <c r="J54" s="205"/>
      <c r="K54" s="194"/>
    </row>
    <row r="55" spans="1:13" ht="16.5">
      <c r="A55" s="348"/>
      <c r="B55" s="353"/>
      <c r="C55" s="202" t="s">
        <v>137</v>
      </c>
      <c r="D55" s="210">
        <v>5844</v>
      </c>
      <c r="E55" s="210">
        <v>6696</v>
      </c>
      <c r="F55" s="210"/>
      <c r="G55" s="210">
        <f>G57+G59+G61</f>
        <v>6757</v>
      </c>
      <c r="H55" s="204">
        <f t="shared" si="0"/>
        <v>115.62286105407256</v>
      </c>
      <c r="I55" s="210"/>
      <c r="J55" s="205"/>
      <c r="K55" s="194"/>
      <c r="M55">
        <f>D55/D54</f>
        <v>12.099378881987578</v>
      </c>
    </row>
    <row r="56" spans="1:11" ht="16.5">
      <c r="A56" s="348"/>
      <c r="B56" s="353" t="s">
        <v>170</v>
      </c>
      <c r="C56" s="202" t="s">
        <v>135</v>
      </c>
      <c r="D56" s="208">
        <v>109</v>
      </c>
      <c r="E56" s="208">
        <v>110</v>
      </c>
      <c r="F56" s="208">
        <v>109</v>
      </c>
      <c r="G56" s="208">
        <v>109</v>
      </c>
      <c r="H56" s="204">
        <f t="shared" si="0"/>
        <v>100</v>
      </c>
      <c r="I56" s="208"/>
      <c r="J56" s="205"/>
      <c r="K56" s="194"/>
    </row>
    <row r="57" spans="1:11" ht="16.5">
      <c r="A57" s="348"/>
      <c r="B57" s="353"/>
      <c r="C57" s="202" t="s">
        <v>137</v>
      </c>
      <c r="D57" s="208">
        <v>1237</v>
      </c>
      <c r="E57" s="208">
        <v>1416</v>
      </c>
      <c r="F57" s="208">
        <f>F56*13</f>
        <v>1417</v>
      </c>
      <c r="G57" s="208">
        <f>G56*13</f>
        <v>1417</v>
      </c>
      <c r="H57" s="204">
        <f t="shared" si="0"/>
        <v>114.55133387227163</v>
      </c>
      <c r="I57" s="208"/>
      <c r="J57" s="205"/>
      <c r="K57" s="194"/>
    </row>
    <row r="58" spans="1:11" ht="16.5">
      <c r="A58" s="348"/>
      <c r="B58" s="353" t="s">
        <v>171</v>
      </c>
      <c r="C58" s="202" t="s">
        <v>135</v>
      </c>
      <c r="D58" s="208">
        <v>215</v>
      </c>
      <c r="E58" s="208">
        <v>250</v>
      </c>
      <c r="F58" s="208">
        <v>260</v>
      </c>
      <c r="G58" s="208">
        <v>260</v>
      </c>
      <c r="H58" s="204">
        <f t="shared" si="0"/>
        <v>120.93023255813952</v>
      </c>
      <c r="I58" s="208"/>
      <c r="J58" s="205"/>
      <c r="K58" s="194"/>
    </row>
    <row r="59" spans="1:11" ht="16.5">
      <c r="A59" s="348"/>
      <c r="B59" s="353"/>
      <c r="C59" s="202" t="s">
        <v>137</v>
      </c>
      <c r="D59" s="208">
        <v>2702</v>
      </c>
      <c r="E59" s="208">
        <v>3000</v>
      </c>
      <c r="F59" s="208">
        <f>F58*12</f>
        <v>3120</v>
      </c>
      <c r="G59" s="208">
        <f>G58*12</f>
        <v>3120</v>
      </c>
      <c r="H59" s="204">
        <f t="shared" si="0"/>
        <v>115.47002220577349</v>
      </c>
      <c r="I59" s="208"/>
      <c r="J59" s="205"/>
      <c r="K59" s="194"/>
    </row>
    <row r="60" spans="1:11" ht="16.5">
      <c r="A60" s="348"/>
      <c r="B60" s="353" t="s">
        <v>172</v>
      </c>
      <c r="C60" s="202" t="s">
        <v>135</v>
      </c>
      <c r="D60" s="208">
        <v>159</v>
      </c>
      <c r="E60" s="208">
        <v>190</v>
      </c>
      <c r="F60" s="208"/>
      <c r="G60" s="208">
        <v>185</v>
      </c>
      <c r="H60" s="204">
        <f t="shared" si="0"/>
        <v>116.35220125786164</v>
      </c>
      <c r="I60" s="208"/>
      <c r="J60" s="205"/>
      <c r="K60" s="194"/>
    </row>
    <row r="61" spans="1:11" ht="16.5">
      <c r="A61" s="348"/>
      <c r="B61" s="353"/>
      <c r="C61" s="202" t="s">
        <v>137</v>
      </c>
      <c r="D61" s="208">
        <v>1905</v>
      </c>
      <c r="E61" s="208">
        <v>2280</v>
      </c>
      <c r="F61" s="208"/>
      <c r="G61" s="208">
        <f>G60*12</f>
        <v>2220</v>
      </c>
      <c r="H61" s="204">
        <f t="shared" si="0"/>
        <v>116.53543307086613</v>
      </c>
      <c r="I61" s="208"/>
      <c r="J61" s="205"/>
      <c r="K61" s="194"/>
    </row>
    <row r="62" spans="1:11" ht="16.5">
      <c r="A62" s="350">
        <v>4</v>
      </c>
      <c r="B62" s="352" t="s">
        <v>173</v>
      </c>
      <c r="C62" s="191" t="s">
        <v>135</v>
      </c>
      <c r="D62" s="200">
        <f>D64+D70+D76</f>
        <v>4470</v>
      </c>
      <c r="E62" s="200">
        <f>E64+E70+E76</f>
        <v>4430</v>
      </c>
      <c r="F62" s="200"/>
      <c r="G62" s="200">
        <f>G64+G70+G76</f>
        <v>4470</v>
      </c>
      <c r="H62" s="197">
        <f t="shared" si="0"/>
        <v>100</v>
      </c>
      <c r="I62" s="200"/>
      <c r="J62" s="198"/>
      <c r="K62" s="194"/>
    </row>
    <row r="63" spans="1:11" ht="16.5">
      <c r="A63" s="350"/>
      <c r="B63" s="352"/>
      <c r="C63" s="191" t="s">
        <v>137</v>
      </c>
      <c r="D63" s="200">
        <f>D65+D71</f>
        <v>7360</v>
      </c>
      <c r="E63" s="200">
        <f>E65+E71</f>
        <v>7849</v>
      </c>
      <c r="F63" s="200"/>
      <c r="G63" s="200">
        <f>G65+G71</f>
        <v>7629</v>
      </c>
      <c r="H63" s="197">
        <f t="shared" si="0"/>
        <v>103.65489130434781</v>
      </c>
      <c r="I63" s="200"/>
      <c r="J63" s="198"/>
      <c r="K63" s="194"/>
    </row>
    <row r="64" spans="1:14" ht="16.5">
      <c r="A64" s="348" t="s">
        <v>174</v>
      </c>
      <c r="B64" s="353" t="s">
        <v>175</v>
      </c>
      <c r="C64" s="202" t="s">
        <v>135</v>
      </c>
      <c r="D64" s="203">
        <f>D66+D68</f>
        <v>1330</v>
      </c>
      <c r="E64" s="203">
        <f>E66+E68</f>
        <v>1300</v>
      </c>
      <c r="F64" s="203"/>
      <c r="G64" s="203">
        <f>G66+G68</f>
        <v>1310</v>
      </c>
      <c r="H64" s="204">
        <f t="shared" si="0"/>
        <v>98.49624060150376</v>
      </c>
      <c r="I64" s="203"/>
      <c r="J64" s="205"/>
      <c r="K64" s="194"/>
      <c r="N64">
        <f>810+2010+60</f>
        <v>2880</v>
      </c>
    </row>
    <row r="65" spans="1:14" ht="16.5">
      <c r="A65" s="348"/>
      <c r="B65" s="353"/>
      <c r="C65" s="202" t="s">
        <v>137</v>
      </c>
      <c r="D65" s="203">
        <f>D67+D69</f>
        <v>2019</v>
      </c>
      <c r="E65" s="203">
        <f>E67+E69</f>
        <v>2420</v>
      </c>
      <c r="F65" s="203"/>
      <c r="G65" s="203">
        <f>G67+G69</f>
        <v>2354</v>
      </c>
      <c r="H65" s="204">
        <f t="shared" si="0"/>
        <v>116.59237246161467</v>
      </c>
      <c r="I65" s="203"/>
      <c r="J65" s="205"/>
      <c r="K65" s="194"/>
      <c r="N65">
        <f>4350-N64-410</f>
        <v>1060</v>
      </c>
    </row>
    <row r="66" spans="1:11" ht="16.5">
      <c r="A66" s="348"/>
      <c r="B66" s="353" t="s">
        <v>176</v>
      </c>
      <c r="C66" s="202" t="s">
        <v>135</v>
      </c>
      <c r="D66" s="208">
        <v>840</v>
      </c>
      <c r="E66" s="208">
        <v>850</v>
      </c>
      <c r="F66" s="208">
        <v>860</v>
      </c>
      <c r="G66" s="208">
        <v>860</v>
      </c>
      <c r="H66" s="204">
        <f t="shared" si="0"/>
        <v>102.38095238095238</v>
      </c>
      <c r="I66" s="208"/>
      <c r="J66" s="205"/>
      <c r="K66" s="194"/>
    </row>
    <row r="67" spans="1:11" ht="16.5">
      <c r="A67" s="348"/>
      <c r="B67" s="353"/>
      <c r="C67" s="202" t="s">
        <v>137</v>
      </c>
      <c r="D67" s="208">
        <v>1357</v>
      </c>
      <c r="E67" s="208">
        <v>1700</v>
      </c>
      <c r="F67" s="208">
        <f>F66*1.9</f>
        <v>1634</v>
      </c>
      <c r="G67" s="208">
        <f>G66*1.9</f>
        <v>1634</v>
      </c>
      <c r="H67" s="204">
        <f t="shared" si="0"/>
        <v>120.41267501842299</v>
      </c>
      <c r="I67" s="208"/>
      <c r="J67" s="205"/>
      <c r="K67" s="194"/>
    </row>
    <row r="68" spans="1:11" ht="16.5">
      <c r="A68" s="348"/>
      <c r="B68" s="353" t="s">
        <v>177</v>
      </c>
      <c r="C68" s="202" t="s">
        <v>135</v>
      </c>
      <c r="D68" s="208">
        <v>490</v>
      </c>
      <c r="E68" s="208">
        <v>450</v>
      </c>
      <c r="F68" s="208"/>
      <c r="G68" s="208">
        <v>450</v>
      </c>
      <c r="H68" s="204">
        <f t="shared" si="0"/>
        <v>91.83673469387756</v>
      </c>
      <c r="I68" s="208"/>
      <c r="J68" s="205"/>
      <c r="K68" s="194"/>
    </row>
    <row r="69" spans="1:11" ht="16.5">
      <c r="A69" s="348"/>
      <c r="B69" s="353"/>
      <c r="C69" s="202" t="s">
        <v>137</v>
      </c>
      <c r="D69" s="208">
        <v>662</v>
      </c>
      <c r="E69" s="208">
        <v>720</v>
      </c>
      <c r="F69" s="208"/>
      <c r="G69" s="208">
        <v>720</v>
      </c>
      <c r="H69" s="204">
        <f t="shared" si="0"/>
        <v>108.76132930513596</v>
      </c>
      <c r="I69" s="208"/>
      <c r="J69" s="205"/>
      <c r="K69" s="194"/>
    </row>
    <row r="70" spans="1:11" ht="16.5">
      <c r="A70" s="348" t="s">
        <v>178</v>
      </c>
      <c r="B70" s="353" t="s">
        <v>179</v>
      </c>
      <c r="C70" s="202" t="s">
        <v>135</v>
      </c>
      <c r="D70" s="203">
        <v>3080</v>
      </c>
      <c r="E70" s="203">
        <v>3070</v>
      </c>
      <c r="F70" s="203"/>
      <c r="G70" s="203">
        <f>G72+G74</f>
        <v>3100</v>
      </c>
      <c r="H70" s="204">
        <f t="shared" si="0"/>
        <v>100.64935064935065</v>
      </c>
      <c r="I70" s="203"/>
      <c r="J70" s="205"/>
      <c r="K70" s="194"/>
    </row>
    <row r="71" spans="1:11" ht="16.5">
      <c r="A71" s="348"/>
      <c r="B71" s="353"/>
      <c r="C71" s="202" t="s">
        <v>137</v>
      </c>
      <c r="D71" s="203">
        <v>5341</v>
      </c>
      <c r="E71" s="203">
        <v>5429</v>
      </c>
      <c r="F71" s="203"/>
      <c r="G71" s="203">
        <f>G73+G75</f>
        <v>5275</v>
      </c>
      <c r="H71" s="204">
        <f t="shared" si="0"/>
        <v>98.76427635274293</v>
      </c>
      <c r="I71" s="203"/>
      <c r="J71" s="205"/>
      <c r="K71" s="194"/>
    </row>
    <row r="72" spans="1:11" ht="16.5">
      <c r="A72" s="348"/>
      <c r="B72" s="353" t="s">
        <v>180</v>
      </c>
      <c r="C72" s="202" t="s">
        <v>135</v>
      </c>
      <c r="D72" s="208">
        <v>2030</v>
      </c>
      <c r="E72" s="208">
        <v>2020</v>
      </c>
      <c r="F72" s="208">
        <v>2050</v>
      </c>
      <c r="G72" s="208">
        <v>2050</v>
      </c>
      <c r="H72" s="204">
        <f t="shared" si="0"/>
        <v>100.98522167487684</v>
      </c>
      <c r="I72" s="208"/>
      <c r="J72" s="205"/>
      <c r="K72" s="194"/>
    </row>
    <row r="73" spans="1:11" ht="16.5">
      <c r="A73" s="348"/>
      <c r="B73" s="353"/>
      <c r="C73" s="202" t="s">
        <v>137</v>
      </c>
      <c r="D73" s="208">
        <v>3410</v>
      </c>
      <c r="E73" s="208">
        <v>3434</v>
      </c>
      <c r="F73" s="208">
        <f>F72*1.6</f>
        <v>3280</v>
      </c>
      <c r="G73" s="208">
        <f>G72*1.6</f>
        <v>3280</v>
      </c>
      <c r="H73" s="204">
        <f t="shared" si="0"/>
        <v>96.18768328445748</v>
      </c>
      <c r="I73" s="208"/>
      <c r="J73" s="205"/>
      <c r="K73" s="194"/>
    </row>
    <row r="74" spans="1:11" ht="16.5">
      <c r="A74" s="348"/>
      <c r="B74" s="353" t="s">
        <v>181</v>
      </c>
      <c r="C74" s="202" t="s">
        <v>135</v>
      </c>
      <c r="D74" s="208">
        <v>1050</v>
      </c>
      <c r="E74" s="208">
        <v>1050</v>
      </c>
      <c r="F74" s="208"/>
      <c r="G74" s="208">
        <v>1050</v>
      </c>
      <c r="H74" s="204">
        <f t="shared" si="0"/>
        <v>100</v>
      </c>
      <c r="I74" s="208"/>
      <c r="J74" s="205"/>
      <c r="K74" s="194"/>
    </row>
    <row r="75" spans="1:11" ht="16.5">
      <c r="A75" s="348"/>
      <c r="B75" s="353"/>
      <c r="C75" s="202" t="s">
        <v>137</v>
      </c>
      <c r="D75" s="208">
        <v>1913</v>
      </c>
      <c r="E75" s="208">
        <v>1995</v>
      </c>
      <c r="F75" s="208"/>
      <c r="G75" s="208">
        <v>1995</v>
      </c>
      <c r="H75" s="204">
        <f aca="true" t="shared" si="1" ref="H75:H137">G75/D75*100</f>
        <v>104.28646105593309</v>
      </c>
      <c r="I75" s="208"/>
      <c r="J75" s="205"/>
      <c r="K75" s="194"/>
    </row>
    <row r="76" spans="1:11" ht="16.5">
      <c r="A76" s="348" t="s">
        <v>182</v>
      </c>
      <c r="B76" s="354" t="s">
        <v>183</v>
      </c>
      <c r="C76" s="211" t="s">
        <v>135</v>
      </c>
      <c r="D76" s="208">
        <v>60</v>
      </c>
      <c r="E76" s="208">
        <v>60</v>
      </c>
      <c r="F76" s="208">
        <v>60</v>
      </c>
      <c r="G76" s="208">
        <v>60</v>
      </c>
      <c r="H76" s="204">
        <f t="shared" si="1"/>
        <v>100</v>
      </c>
      <c r="I76" s="208"/>
      <c r="J76" s="205"/>
      <c r="K76" s="194"/>
    </row>
    <row r="77" spans="1:11" ht="16.5">
      <c r="A77" s="348"/>
      <c r="B77" s="354"/>
      <c r="C77" s="211" t="s">
        <v>137</v>
      </c>
      <c r="D77" s="208">
        <v>3762</v>
      </c>
      <c r="E77" s="208">
        <v>3600</v>
      </c>
      <c r="F77" s="208">
        <v>3600</v>
      </c>
      <c r="G77" s="208">
        <v>3600</v>
      </c>
      <c r="H77" s="204">
        <f t="shared" si="1"/>
        <v>95.69377990430623</v>
      </c>
      <c r="I77" s="208"/>
      <c r="J77" s="205"/>
      <c r="K77" s="194"/>
    </row>
    <row r="78" spans="1:11" ht="16.5">
      <c r="A78" s="350">
        <v>5</v>
      </c>
      <c r="B78" s="351" t="s">
        <v>184</v>
      </c>
      <c r="C78" s="191" t="s">
        <v>135</v>
      </c>
      <c r="D78" s="213">
        <v>184</v>
      </c>
      <c r="E78" s="213">
        <v>190</v>
      </c>
      <c r="F78" s="213">
        <v>190</v>
      </c>
      <c r="G78" s="213">
        <v>190</v>
      </c>
      <c r="H78" s="197">
        <f t="shared" si="1"/>
        <v>103.26086956521738</v>
      </c>
      <c r="I78" s="213"/>
      <c r="J78" s="198"/>
      <c r="K78" s="194"/>
    </row>
    <row r="79" spans="1:11" ht="16.5">
      <c r="A79" s="350"/>
      <c r="B79" s="351"/>
      <c r="C79" s="191" t="s">
        <v>137</v>
      </c>
      <c r="D79" s="213">
        <v>1748</v>
      </c>
      <c r="E79" s="213">
        <v>1900</v>
      </c>
      <c r="F79" s="213">
        <v>1900</v>
      </c>
      <c r="G79" s="213">
        <v>1900</v>
      </c>
      <c r="H79" s="197">
        <f t="shared" si="1"/>
        <v>108.69565217391303</v>
      </c>
      <c r="I79" s="213"/>
      <c r="J79" s="198"/>
      <c r="K79" s="194"/>
    </row>
    <row r="80" spans="1:11" ht="16.5">
      <c r="A80" s="190" t="s">
        <v>66</v>
      </c>
      <c r="B80" s="196" t="s">
        <v>185</v>
      </c>
      <c r="C80" s="191" t="s">
        <v>135</v>
      </c>
      <c r="D80" s="200">
        <f>D81+D102+D126+D128+D129</f>
        <v>27306</v>
      </c>
      <c r="E80" s="200">
        <f>SUM(E81+E102+E126+E128++E129)</f>
        <v>27326</v>
      </c>
      <c r="F80" s="200">
        <f>F81+F102+F126+F128+F129</f>
        <v>27356</v>
      </c>
      <c r="G80" s="200">
        <f>G81+G102+G126+G128+G129</f>
        <v>27356</v>
      </c>
      <c r="H80" s="197">
        <f t="shared" si="1"/>
        <v>100.1831099392075</v>
      </c>
      <c r="I80" s="200"/>
      <c r="J80" s="198"/>
      <c r="K80" s="194"/>
    </row>
    <row r="81" spans="1:15" ht="16.5">
      <c r="A81" s="190">
        <v>1</v>
      </c>
      <c r="B81" s="196" t="s">
        <v>186</v>
      </c>
      <c r="C81" s="191" t="s">
        <v>135</v>
      </c>
      <c r="D81" s="200">
        <f>D82+D86+D88+D90+D94+D98+D100</f>
        <v>25871</v>
      </c>
      <c r="E81" s="200">
        <f>SUM(E82+E86+E88+E90+E94+E98+E100)</f>
        <v>25862</v>
      </c>
      <c r="F81" s="200">
        <f>SUM(F82+F86+F88+F90+F94+F98+F100)</f>
        <v>25862</v>
      </c>
      <c r="G81" s="200">
        <f>SUM(G82+G86+G88+G90+G94+G98+G100)</f>
        <v>25862</v>
      </c>
      <c r="H81" s="197">
        <f t="shared" si="1"/>
        <v>99.96521201345135</v>
      </c>
      <c r="I81" s="200"/>
      <c r="J81" s="198"/>
      <c r="K81" s="194"/>
      <c r="O81">
        <f>48360/G83</f>
        <v>2.5122077922077923</v>
      </c>
    </row>
    <row r="82" spans="1:11" ht="16.5">
      <c r="A82" s="348" t="s">
        <v>142</v>
      </c>
      <c r="B82" s="353" t="s">
        <v>187</v>
      </c>
      <c r="C82" s="202" t="s">
        <v>135</v>
      </c>
      <c r="D82" s="208">
        <v>21182</v>
      </c>
      <c r="E82" s="208">
        <v>21182</v>
      </c>
      <c r="F82" s="208">
        <v>21182</v>
      </c>
      <c r="G82" s="208">
        <v>21182</v>
      </c>
      <c r="H82" s="204">
        <f t="shared" si="1"/>
        <v>100</v>
      </c>
      <c r="I82" s="208"/>
      <c r="J82" s="205"/>
      <c r="K82" s="194"/>
    </row>
    <row r="83" spans="1:11" ht="16.5">
      <c r="A83" s="348"/>
      <c r="B83" s="353"/>
      <c r="C83" s="202" t="s">
        <v>188</v>
      </c>
      <c r="D83" s="208">
        <v>19450</v>
      </c>
      <c r="E83" s="208">
        <v>19450</v>
      </c>
      <c r="F83" s="208">
        <v>19250</v>
      </c>
      <c r="G83" s="208">
        <v>19250</v>
      </c>
      <c r="H83" s="204">
        <f t="shared" si="1"/>
        <v>98.97172236503856</v>
      </c>
      <c r="I83" s="208"/>
      <c r="J83" s="205"/>
      <c r="K83" s="194"/>
    </row>
    <row r="84" spans="1:11" ht="16.5">
      <c r="A84" s="348"/>
      <c r="B84" s="353"/>
      <c r="C84" s="202" t="s">
        <v>189</v>
      </c>
      <c r="D84" s="208">
        <f>D82-D83</f>
        <v>1732</v>
      </c>
      <c r="E84" s="208">
        <v>720</v>
      </c>
      <c r="F84" s="208">
        <f>F82-F83</f>
        <v>1932</v>
      </c>
      <c r="G84" s="208">
        <f>G82-G83</f>
        <v>1932</v>
      </c>
      <c r="H84" s="204">
        <f t="shared" si="1"/>
        <v>111.5473441108545</v>
      </c>
      <c r="I84" s="208"/>
      <c r="J84" s="205"/>
      <c r="K84" s="194"/>
    </row>
    <row r="85" spans="1:11" ht="16.5">
      <c r="A85" s="348"/>
      <c r="B85" s="353"/>
      <c r="C85" s="202" t="s">
        <v>137</v>
      </c>
      <c r="D85" s="208">
        <v>44735</v>
      </c>
      <c r="E85" s="208">
        <v>48625</v>
      </c>
      <c r="F85" s="208">
        <f>F83*2.55</f>
        <v>49087.5</v>
      </c>
      <c r="G85" s="208">
        <f>G83*2.55</f>
        <v>49087.5</v>
      </c>
      <c r="H85" s="204">
        <f t="shared" si="1"/>
        <v>109.72951827428187</v>
      </c>
      <c r="I85" s="208"/>
      <c r="J85" s="205"/>
      <c r="K85" s="194"/>
    </row>
    <row r="86" spans="1:11" ht="16.5">
      <c r="A86" s="348" t="s">
        <v>146</v>
      </c>
      <c r="B86" s="353" t="s">
        <v>190</v>
      </c>
      <c r="C86" s="202" t="s">
        <v>135</v>
      </c>
      <c r="D86" s="208">
        <v>2300</v>
      </c>
      <c r="E86" s="208">
        <v>2300</v>
      </c>
      <c r="F86" s="208">
        <v>2300</v>
      </c>
      <c r="G86" s="208">
        <v>2300</v>
      </c>
      <c r="H86" s="204">
        <f t="shared" si="1"/>
        <v>100</v>
      </c>
      <c r="I86" s="208"/>
      <c r="J86" s="205"/>
      <c r="K86" s="194"/>
    </row>
    <row r="87" spans="1:11" ht="16.5">
      <c r="A87" s="348"/>
      <c r="B87" s="353"/>
      <c r="C87" s="202" t="s">
        <v>137</v>
      </c>
      <c r="D87" s="208">
        <v>3680</v>
      </c>
      <c r="E87" s="208">
        <v>3680</v>
      </c>
      <c r="F87" s="208">
        <v>3680</v>
      </c>
      <c r="G87" s="208">
        <v>3680</v>
      </c>
      <c r="H87" s="204">
        <f t="shared" si="1"/>
        <v>100</v>
      </c>
      <c r="I87" s="208"/>
      <c r="J87" s="205"/>
      <c r="K87" s="194"/>
    </row>
    <row r="88" spans="1:11" ht="16.5">
      <c r="A88" s="348" t="s">
        <v>148</v>
      </c>
      <c r="B88" s="353" t="s">
        <v>191</v>
      </c>
      <c r="C88" s="202" t="s">
        <v>135</v>
      </c>
      <c r="D88" s="208">
        <v>369</v>
      </c>
      <c r="E88" s="208">
        <v>360</v>
      </c>
      <c r="F88" s="208">
        <v>360</v>
      </c>
      <c r="G88" s="208">
        <v>360</v>
      </c>
      <c r="H88" s="204">
        <f t="shared" si="1"/>
        <v>97.5609756097561</v>
      </c>
      <c r="I88" s="208"/>
      <c r="J88" s="205"/>
      <c r="K88" s="194"/>
    </row>
    <row r="89" spans="1:11" ht="16.5">
      <c r="A89" s="348"/>
      <c r="B89" s="353"/>
      <c r="C89" s="202" t="s">
        <v>137</v>
      </c>
      <c r="D89" s="208">
        <v>441</v>
      </c>
      <c r="E89" s="208">
        <v>475</v>
      </c>
      <c r="F89" s="208">
        <v>475</v>
      </c>
      <c r="G89" s="208">
        <v>475</v>
      </c>
      <c r="H89" s="204">
        <f t="shared" si="1"/>
        <v>107.70975056689342</v>
      </c>
      <c r="I89" s="208"/>
      <c r="J89" s="205"/>
      <c r="K89" s="194"/>
    </row>
    <row r="90" spans="1:11" ht="16.5">
      <c r="A90" s="348" t="s">
        <v>192</v>
      </c>
      <c r="B90" s="353" t="s">
        <v>193</v>
      </c>
      <c r="C90" s="202" t="s">
        <v>135</v>
      </c>
      <c r="D90" s="208">
        <v>1795</v>
      </c>
      <c r="E90" s="208">
        <v>1795</v>
      </c>
      <c r="F90" s="208">
        <v>1795</v>
      </c>
      <c r="G90" s="208">
        <v>1795</v>
      </c>
      <c r="H90" s="204">
        <f t="shared" si="1"/>
        <v>100</v>
      </c>
      <c r="I90" s="208"/>
      <c r="J90" s="205"/>
      <c r="K90" s="194"/>
    </row>
    <row r="91" spans="1:11" ht="16.5">
      <c r="A91" s="348"/>
      <c r="B91" s="353"/>
      <c r="C91" s="202" t="s">
        <v>194</v>
      </c>
      <c r="D91" s="208">
        <v>1452</v>
      </c>
      <c r="E91" s="208">
        <v>1550</v>
      </c>
      <c r="F91" s="208">
        <v>1550</v>
      </c>
      <c r="G91" s="208">
        <v>1550</v>
      </c>
      <c r="H91" s="204">
        <f t="shared" si="1"/>
        <v>106.74931129476583</v>
      </c>
      <c r="I91" s="208"/>
      <c r="J91" s="205"/>
      <c r="K91" s="194"/>
    </row>
    <row r="92" spans="1:14" ht="16.5">
      <c r="A92" s="348"/>
      <c r="B92" s="353"/>
      <c r="C92" s="202" t="s">
        <v>195</v>
      </c>
      <c r="D92" s="208">
        <f>D90-D91</f>
        <v>343</v>
      </c>
      <c r="E92" s="208">
        <v>245</v>
      </c>
      <c r="F92" s="208">
        <v>245</v>
      </c>
      <c r="G92" s="208">
        <v>245</v>
      </c>
      <c r="H92" s="204">
        <f t="shared" si="1"/>
        <v>71.42857142857143</v>
      </c>
      <c r="I92" s="208"/>
      <c r="J92" s="205"/>
      <c r="K92" s="194"/>
      <c r="N92">
        <f>3201/2.2</f>
        <v>1454.9999999999998</v>
      </c>
    </row>
    <row r="93" spans="1:11" ht="16.5">
      <c r="A93" s="348"/>
      <c r="B93" s="353"/>
      <c r="C93" s="202" t="s">
        <v>137</v>
      </c>
      <c r="D93" s="208">
        <v>3049</v>
      </c>
      <c r="E93" s="208">
        <v>3100</v>
      </c>
      <c r="F93" s="208">
        <f>F91*2.1</f>
        <v>3255</v>
      </c>
      <c r="G93" s="208">
        <f>G91*2.1</f>
        <v>3255</v>
      </c>
      <c r="H93" s="204">
        <f t="shared" si="1"/>
        <v>106.75631354542472</v>
      </c>
      <c r="I93" s="208"/>
      <c r="J93" s="205"/>
      <c r="K93" s="194"/>
    </row>
    <row r="94" spans="1:15" ht="16.5">
      <c r="A94" s="348" t="s">
        <v>196</v>
      </c>
      <c r="B94" s="353" t="s">
        <v>197</v>
      </c>
      <c r="C94" s="202" t="s">
        <v>135</v>
      </c>
      <c r="D94" s="208">
        <v>210</v>
      </c>
      <c r="E94" s="208">
        <v>210</v>
      </c>
      <c r="F94" s="208">
        <v>210</v>
      </c>
      <c r="G94" s="208">
        <v>210</v>
      </c>
      <c r="H94" s="204">
        <f t="shared" si="1"/>
        <v>100</v>
      </c>
      <c r="I94" s="208"/>
      <c r="J94" s="205"/>
      <c r="K94" s="194"/>
      <c r="O94" s="209">
        <f>F94+F98+F100+F126+F128+F129</f>
        <v>385</v>
      </c>
    </row>
    <row r="95" spans="1:11" ht="16.5">
      <c r="A95" s="348"/>
      <c r="B95" s="353"/>
      <c r="C95" s="202" t="s">
        <v>194</v>
      </c>
      <c r="D95" s="208">
        <v>210</v>
      </c>
      <c r="E95" s="208">
        <v>210</v>
      </c>
      <c r="F95" s="208">
        <v>210</v>
      </c>
      <c r="G95" s="208">
        <v>210</v>
      </c>
      <c r="H95" s="204">
        <f t="shared" si="1"/>
        <v>100</v>
      </c>
      <c r="I95" s="208"/>
      <c r="J95" s="205"/>
      <c r="K95" s="194"/>
    </row>
    <row r="96" spans="1:11" ht="16.5">
      <c r="A96" s="348"/>
      <c r="B96" s="353"/>
      <c r="C96" s="202" t="s">
        <v>195</v>
      </c>
      <c r="D96" s="208">
        <v>0</v>
      </c>
      <c r="E96" s="208">
        <v>0</v>
      </c>
      <c r="F96" s="208">
        <v>0</v>
      </c>
      <c r="G96" s="208">
        <v>0</v>
      </c>
      <c r="H96" s="204"/>
      <c r="I96" s="208"/>
      <c r="J96" s="205"/>
      <c r="K96" s="194"/>
    </row>
    <row r="97" spans="1:11" ht="16.5">
      <c r="A97" s="348"/>
      <c r="B97" s="353"/>
      <c r="C97" s="202" t="s">
        <v>137</v>
      </c>
      <c r="D97" s="208">
        <v>382</v>
      </c>
      <c r="E97" s="208">
        <v>420</v>
      </c>
      <c r="F97" s="208">
        <v>420</v>
      </c>
      <c r="G97" s="208">
        <v>420</v>
      </c>
      <c r="H97" s="204">
        <f t="shared" si="1"/>
        <v>109.94764397905759</v>
      </c>
      <c r="I97" s="208"/>
      <c r="J97" s="205"/>
      <c r="K97" s="194"/>
    </row>
    <row r="98" spans="1:11" ht="16.5">
      <c r="A98" s="348" t="s">
        <v>198</v>
      </c>
      <c r="B98" s="349" t="s">
        <v>199</v>
      </c>
      <c r="C98" s="202" t="s">
        <v>135</v>
      </c>
      <c r="D98" s="208">
        <v>7</v>
      </c>
      <c r="E98" s="208">
        <v>7</v>
      </c>
      <c r="F98" s="208">
        <v>7</v>
      </c>
      <c r="G98" s="208">
        <v>7</v>
      </c>
      <c r="H98" s="204">
        <f t="shared" si="1"/>
        <v>100</v>
      </c>
      <c r="I98" s="208"/>
      <c r="J98" s="205"/>
      <c r="K98" s="194"/>
    </row>
    <row r="99" spans="1:11" ht="16.5">
      <c r="A99" s="348"/>
      <c r="B99" s="349"/>
      <c r="C99" s="202" t="s">
        <v>137</v>
      </c>
      <c r="D99" s="208">
        <v>77</v>
      </c>
      <c r="E99" s="208">
        <v>77</v>
      </c>
      <c r="F99" s="208">
        <v>77</v>
      </c>
      <c r="G99" s="208">
        <v>77</v>
      </c>
      <c r="H99" s="204">
        <f t="shared" si="1"/>
        <v>100</v>
      </c>
      <c r="I99" s="208"/>
      <c r="J99" s="205"/>
      <c r="K99" s="194"/>
    </row>
    <row r="100" spans="1:11" ht="16.5">
      <c r="A100" s="348" t="s">
        <v>200</v>
      </c>
      <c r="B100" s="349" t="s">
        <v>201</v>
      </c>
      <c r="C100" s="202" t="s">
        <v>135</v>
      </c>
      <c r="D100" s="208">
        <v>8</v>
      </c>
      <c r="E100" s="208">
        <v>8</v>
      </c>
      <c r="F100" s="208">
        <v>8</v>
      </c>
      <c r="G100" s="208">
        <v>8</v>
      </c>
      <c r="H100" s="204">
        <f t="shared" si="1"/>
        <v>100</v>
      </c>
      <c r="I100" s="208"/>
      <c r="J100" s="205"/>
      <c r="K100" s="194"/>
    </row>
    <row r="101" spans="1:11" ht="16.5">
      <c r="A101" s="348"/>
      <c r="B101" s="349"/>
      <c r="C101" s="202" t="s">
        <v>137</v>
      </c>
      <c r="D101" s="214">
        <v>7</v>
      </c>
      <c r="E101" s="214">
        <v>7</v>
      </c>
      <c r="F101" s="214">
        <v>7</v>
      </c>
      <c r="G101" s="214">
        <v>7</v>
      </c>
      <c r="H101" s="204">
        <f t="shared" si="1"/>
        <v>100</v>
      </c>
      <c r="I101" s="214"/>
      <c r="J101" s="205"/>
      <c r="K101" s="194"/>
    </row>
    <row r="102" spans="1:15" ht="16.5">
      <c r="A102" s="350">
        <v>2</v>
      </c>
      <c r="B102" s="352" t="s">
        <v>202</v>
      </c>
      <c r="C102" s="191" t="s">
        <v>135</v>
      </c>
      <c r="D102" s="215">
        <f aca="true" t="shared" si="2" ref="D102:F103">D104+D106+D108+D110+D112+D114+D116+D118+D120+D122+D124</f>
        <v>1241</v>
      </c>
      <c r="E102" s="215">
        <f t="shared" si="2"/>
        <v>1304</v>
      </c>
      <c r="F102" s="215">
        <f t="shared" si="2"/>
        <v>1334</v>
      </c>
      <c r="G102" s="215">
        <f>G104+G106+G108+G110+G112+G114+G116+G118+G120+G122+G124</f>
        <v>1334</v>
      </c>
      <c r="H102" s="197">
        <f t="shared" si="1"/>
        <v>107.49395648670428</v>
      </c>
      <c r="I102" s="215"/>
      <c r="J102" s="198"/>
      <c r="K102" s="194"/>
      <c r="N102" s="209">
        <f>F103-5273</f>
        <v>9083</v>
      </c>
      <c r="O102" s="209"/>
    </row>
    <row r="103" spans="1:11" ht="16.5">
      <c r="A103" s="350"/>
      <c r="B103" s="352"/>
      <c r="C103" s="191" t="s">
        <v>137</v>
      </c>
      <c r="D103" s="215">
        <f t="shared" si="2"/>
        <v>10680</v>
      </c>
      <c r="E103" s="215">
        <f t="shared" si="2"/>
        <v>14026</v>
      </c>
      <c r="F103" s="215">
        <f t="shared" si="2"/>
        <v>14356</v>
      </c>
      <c r="G103" s="215">
        <f>G105+G107+G109+G111+G113+G115+G117+G119+G121+G123+G125</f>
        <v>14356</v>
      </c>
      <c r="H103" s="197">
        <f t="shared" si="1"/>
        <v>134.41947565543072</v>
      </c>
      <c r="I103" s="215"/>
      <c r="J103" s="198"/>
      <c r="K103" s="194"/>
    </row>
    <row r="104" spans="1:11" ht="16.5">
      <c r="A104" s="348" t="s">
        <v>154</v>
      </c>
      <c r="B104" s="349" t="s">
        <v>203</v>
      </c>
      <c r="C104" s="202" t="s">
        <v>135</v>
      </c>
      <c r="D104" s="208">
        <v>8</v>
      </c>
      <c r="E104" s="208">
        <v>8</v>
      </c>
      <c r="F104" s="208">
        <v>8</v>
      </c>
      <c r="G104" s="208">
        <v>8</v>
      </c>
      <c r="H104" s="204">
        <f t="shared" si="1"/>
        <v>100</v>
      </c>
      <c r="I104" s="208"/>
      <c r="J104" s="205"/>
      <c r="K104" s="194"/>
    </row>
    <row r="105" spans="1:11" ht="16.5">
      <c r="A105" s="348"/>
      <c r="B105" s="349"/>
      <c r="C105" s="202" t="s">
        <v>137</v>
      </c>
      <c r="D105" s="208">
        <v>59</v>
      </c>
      <c r="E105" s="208">
        <v>59</v>
      </c>
      <c r="F105" s="208">
        <v>59</v>
      </c>
      <c r="G105" s="208">
        <v>59</v>
      </c>
      <c r="H105" s="204">
        <f t="shared" si="1"/>
        <v>100</v>
      </c>
      <c r="I105" s="208"/>
      <c r="J105" s="205"/>
      <c r="K105" s="194"/>
    </row>
    <row r="106" spans="1:11" ht="16.5">
      <c r="A106" s="348" t="s">
        <v>156</v>
      </c>
      <c r="B106" s="349" t="s">
        <v>204</v>
      </c>
      <c r="C106" s="202" t="s">
        <v>135</v>
      </c>
      <c r="D106" s="208">
        <v>10</v>
      </c>
      <c r="E106" s="208">
        <v>10</v>
      </c>
      <c r="F106" s="208">
        <v>10</v>
      </c>
      <c r="G106" s="208">
        <v>10</v>
      </c>
      <c r="H106" s="204">
        <f t="shared" si="1"/>
        <v>100</v>
      </c>
      <c r="I106" s="208"/>
      <c r="J106" s="205"/>
      <c r="K106" s="194"/>
    </row>
    <row r="107" spans="1:11" ht="16.5">
      <c r="A107" s="348"/>
      <c r="B107" s="349"/>
      <c r="C107" s="202" t="s">
        <v>137</v>
      </c>
      <c r="D107" s="208">
        <v>15</v>
      </c>
      <c r="E107" s="208">
        <v>15</v>
      </c>
      <c r="F107" s="208">
        <v>15</v>
      </c>
      <c r="G107" s="208">
        <v>15</v>
      </c>
      <c r="H107" s="204">
        <f t="shared" si="1"/>
        <v>100</v>
      </c>
      <c r="I107" s="208"/>
      <c r="J107" s="205"/>
      <c r="K107" s="194"/>
    </row>
    <row r="108" spans="1:11" ht="16.5">
      <c r="A108" s="348" t="s">
        <v>205</v>
      </c>
      <c r="B108" s="349" t="s">
        <v>206</v>
      </c>
      <c r="C108" s="202" t="s">
        <v>135</v>
      </c>
      <c r="D108" s="208">
        <v>29</v>
      </c>
      <c r="E108" s="208">
        <v>29</v>
      </c>
      <c r="F108" s="208">
        <v>29</v>
      </c>
      <c r="G108" s="208">
        <v>29</v>
      </c>
      <c r="H108" s="204">
        <f t="shared" si="1"/>
        <v>100</v>
      </c>
      <c r="I108" s="208"/>
      <c r="J108" s="205"/>
      <c r="K108" s="194"/>
    </row>
    <row r="109" spans="1:11" ht="16.5">
      <c r="A109" s="348"/>
      <c r="B109" s="349"/>
      <c r="C109" s="202" t="s">
        <v>137</v>
      </c>
      <c r="D109" s="208">
        <v>467</v>
      </c>
      <c r="E109" s="208">
        <v>467</v>
      </c>
      <c r="F109" s="208">
        <v>467</v>
      </c>
      <c r="G109" s="208">
        <v>467</v>
      </c>
      <c r="H109" s="204">
        <f t="shared" si="1"/>
        <v>100</v>
      </c>
      <c r="I109" s="208"/>
      <c r="J109" s="205"/>
      <c r="K109" s="194"/>
    </row>
    <row r="110" spans="1:11" ht="16.5">
      <c r="A110" s="348" t="s">
        <v>207</v>
      </c>
      <c r="B110" s="349" t="s">
        <v>208</v>
      </c>
      <c r="C110" s="202" t="s">
        <v>135</v>
      </c>
      <c r="D110" s="208">
        <v>384</v>
      </c>
      <c r="E110" s="208">
        <v>420</v>
      </c>
      <c r="F110" s="208">
        <v>450</v>
      </c>
      <c r="G110" s="208">
        <v>450</v>
      </c>
      <c r="H110" s="204">
        <f t="shared" si="1"/>
        <v>117.1875</v>
      </c>
      <c r="I110" s="208"/>
      <c r="J110" s="205"/>
      <c r="K110" s="194"/>
    </row>
    <row r="111" spans="1:11" ht="16.5">
      <c r="A111" s="348"/>
      <c r="B111" s="349"/>
      <c r="C111" s="202" t="s">
        <v>137</v>
      </c>
      <c r="D111" s="208">
        <v>2251</v>
      </c>
      <c r="E111" s="208">
        <v>4620</v>
      </c>
      <c r="F111" s="208">
        <v>4950</v>
      </c>
      <c r="G111" s="208">
        <v>4950</v>
      </c>
      <c r="H111" s="204">
        <f t="shared" si="1"/>
        <v>219.9022656597068</v>
      </c>
      <c r="I111" s="208"/>
      <c r="J111" s="205"/>
      <c r="K111" s="194"/>
    </row>
    <row r="112" spans="1:11" ht="16.5">
      <c r="A112" s="348" t="s">
        <v>209</v>
      </c>
      <c r="B112" s="349" t="s">
        <v>210</v>
      </c>
      <c r="C112" s="202" t="s">
        <v>135</v>
      </c>
      <c r="D112" s="208">
        <v>10</v>
      </c>
      <c r="E112" s="208">
        <v>10</v>
      </c>
      <c r="F112" s="208">
        <v>10</v>
      </c>
      <c r="G112" s="208">
        <v>10</v>
      </c>
      <c r="H112" s="204">
        <f t="shared" si="1"/>
        <v>100</v>
      </c>
      <c r="I112" s="208"/>
      <c r="J112" s="205"/>
      <c r="K112" s="194"/>
    </row>
    <row r="113" spans="1:11" ht="16.5">
      <c r="A113" s="348"/>
      <c r="B113" s="349"/>
      <c r="C113" s="202" t="s">
        <v>137</v>
      </c>
      <c r="D113" s="208">
        <v>265</v>
      </c>
      <c r="E113" s="208">
        <v>80</v>
      </c>
      <c r="F113" s="208">
        <v>80</v>
      </c>
      <c r="G113" s="208">
        <v>80</v>
      </c>
      <c r="H113" s="204">
        <f t="shared" si="1"/>
        <v>30.18867924528302</v>
      </c>
      <c r="I113" s="208"/>
      <c r="J113" s="205"/>
      <c r="K113" s="194"/>
    </row>
    <row r="114" spans="1:11" ht="16.5">
      <c r="A114" s="348" t="s">
        <v>211</v>
      </c>
      <c r="B114" s="349" t="s">
        <v>212</v>
      </c>
      <c r="C114" s="202" t="s">
        <v>135</v>
      </c>
      <c r="D114" s="208">
        <v>10</v>
      </c>
      <c r="E114" s="208">
        <v>10</v>
      </c>
      <c r="F114" s="208">
        <v>10</v>
      </c>
      <c r="G114" s="208">
        <v>10</v>
      </c>
      <c r="H114" s="204">
        <f t="shared" si="1"/>
        <v>100</v>
      </c>
      <c r="I114" s="208"/>
      <c r="J114" s="205"/>
      <c r="K114" s="194"/>
    </row>
    <row r="115" spans="1:11" ht="16.5">
      <c r="A115" s="348"/>
      <c r="B115" s="349"/>
      <c r="C115" s="202" t="s">
        <v>137</v>
      </c>
      <c r="D115" s="208">
        <v>128</v>
      </c>
      <c r="E115" s="208">
        <v>95</v>
      </c>
      <c r="F115" s="208">
        <v>95</v>
      </c>
      <c r="G115" s="208">
        <v>95</v>
      </c>
      <c r="H115" s="204">
        <f t="shared" si="1"/>
        <v>74.21875</v>
      </c>
      <c r="I115" s="208"/>
      <c r="J115" s="205"/>
      <c r="K115" s="194"/>
    </row>
    <row r="116" spans="1:11" ht="16.5">
      <c r="A116" s="348" t="s">
        <v>213</v>
      </c>
      <c r="B116" s="349" t="s">
        <v>214</v>
      </c>
      <c r="C116" s="202" t="s">
        <v>135</v>
      </c>
      <c r="D116" s="208">
        <v>6</v>
      </c>
      <c r="E116" s="208">
        <v>6</v>
      </c>
      <c r="F116" s="208">
        <v>6</v>
      </c>
      <c r="G116" s="208">
        <v>6</v>
      </c>
      <c r="H116" s="204">
        <f t="shared" si="1"/>
        <v>100</v>
      </c>
      <c r="I116" s="208"/>
      <c r="J116" s="205"/>
      <c r="K116" s="194"/>
    </row>
    <row r="117" spans="1:11" ht="16.5">
      <c r="A117" s="348"/>
      <c r="B117" s="349"/>
      <c r="C117" s="202" t="s">
        <v>137</v>
      </c>
      <c r="D117" s="216">
        <v>32</v>
      </c>
      <c r="E117" s="208">
        <v>19</v>
      </c>
      <c r="F117" s="208">
        <v>19</v>
      </c>
      <c r="G117" s="208">
        <v>19</v>
      </c>
      <c r="H117" s="204">
        <f t="shared" si="1"/>
        <v>59.375</v>
      </c>
      <c r="I117" s="216"/>
      <c r="J117" s="205"/>
      <c r="K117" s="194"/>
    </row>
    <row r="118" spans="1:11" ht="16.5">
      <c r="A118" s="348" t="s">
        <v>215</v>
      </c>
      <c r="B118" s="349" t="s">
        <v>216</v>
      </c>
      <c r="C118" s="202" t="s">
        <v>135</v>
      </c>
      <c r="D118" s="208">
        <v>437</v>
      </c>
      <c r="E118" s="208">
        <v>450</v>
      </c>
      <c r="F118" s="208">
        <v>450</v>
      </c>
      <c r="G118" s="208">
        <v>450</v>
      </c>
      <c r="H118" s="204">
        <f t="shared" si="1"/>
        <v>102.97482837528604</v>
      </c>
      <c r="I118" s="208"/>
      <c r="J118" s="205"/>
      <c r="K118" s="194"/>
    </row>
    <row r="119" spans="1:15" ht="16.5">
      <c r="A119" s="348"/>
      <c r="B119" s="349"/>
      <c r="C119" s="202" t="s">
        <v>137</v>
      </c>
      <c r="D119" s="208">
        <v>5088</v>
      </c>
      <c r="E119" s="208">
        <v>5400</v>
      </c>
      <c r="F119" s="208">
        <v>5400</v>
      </c>
      <c r="G119" s="208">
        <v>5400</v>
      </c>
      <c r="H119" s="204">
        <f t="shared" si="1"/>
        <v>106.13207547169812</v>
      </c>
      <c r="I119" s="208"/>
      <c r="J119" s="205"/>
      <c r="K119" s="194"/>
      <c r="O119" t="s">
        <v>120</v>
      </c>
    </row>
    <row r="120" spans="1:11" ht="16.5">
      <c r="A120" s="348" t="s">
        <v>217</v>
      </c>
      <c r="B120" s="349" t="s">
        <v>218</v>
      </c>
      <c r="C120" s="202" t="s">
        <v>135</v>
      </c>
      <c r="D120" s="208">
        <v>20</v>
      </c>
      <c r="E120" s="208">
        <v>22</v>
      </c>
      <c r="F120" s="208">
        <v>22</v>
      </c>
      <c r="G120" s="208">
        <v>22</v>
      </c>
      <c r="H120" s="204">
        <f t="shared" si="1"/>
        <v>110.00000000000001</v>
      </c>
      <c r="I120" s="208"/>
      <c r="J120" s="205"/>
      <c r="K120" s="194"/>
    </row>
    <row r="121" spans="1:11" ht="16.5">
      <c r="A121" s="348"/>
      <c r="B121" s="349"/>
      <c r="C121" s="202" t="s">
        <v>137</v>
      </c>
      <c r="D121" s="208">
        <v>265</v>
      </c>
      <c r="E121" s="208">
        <v>308</v>
      </c>
      <c r="F121" s="208">
        <v>308</v>
      </c>
      <c r="G121" s="208">
        <v>308</v>
      </c>
      <c r="H121" s="204">
        <f t="shared" si="1"/>
        <v>116.22641509433961</v>
      </c>
      <c r="I121" s="208"/>
      <c r="J121" s="205"/>
      <c r="K121" s="194"/>
    </row>
    <row r="122" spans="1:11" ht="16.5">
      <c r="A122" s="348" t="s">
        <v>219</v>
      </c>
      <c r="B122" s="349" t="s">
        <v>220</v>
      </c>
      <c r="C122" s="202" t="s">
        <v>135</v>
      </c>
      <c r="D122" s="208">
        <v>283</v>
      </c>
      <c r="E122" s="208">
        <v>295</v>
      </c>
      <c r="F122" s="208">
        <v>295</v>
      </c>
      <c r="G122" s="208">
        <v>295</v>
      </c>
      <c r="H122" s="204">
        <f t="shared" si="1"/>
        <v>104.24028268551237</v>
      </c>
      <c r="I122" s="208"/>
      <c r="J122" s="205"/>
      <c r="K122" s="194"/>
    </row>
    <row r="123" spans="1:11" ht="16.5">
      <c r="A123" s="348"/>
      <c r="B123" s="349"/>
      <c r="C123" s="202" t="s">
        <v>137</v>
      </c>
      <c r="D123" s="217">
        <v>1826</v>
      </c>
      <c r="E123" s="217">
        <v>2655</v>
      </c>
      <c r="F123" s="217">
        <v>2655</v>
      </c>
      <c r="G123" s="217">
        <v>2655</v>
      </c>
      <c r="H123" s="204">
        <f t="shared" si="1"/>
        <v>145.39978094194961</v>
      </c>
      <c r="I123" s="217"/>
      <c r="J123" s="205"/>
      <c r="K123" s="194"/>
    </row>
    <row r="124" spans="1:11" ht="16.5">
      <c r="A124" s="348" t="s">
        <v>221</v>
      </c>
      <c r="B124" s="349" t="s">
        <v>222</v>
      </c>
      <c r="C124" s="202" t="s">
        <v>135</v>
      </c>
      <c r="D124" s="208">
        <v>44</v>
      </c>
      <c r="E124" s="208">
        <v>44</v>
      </c>
      <c r="F124" s="208">
        <v>44</v>
      </c>
      <c r="G124" s="208">
        <v>44</v>
      </c>
      <c r="H124" s="204">
        <f t="shared" si="1"/>
        <v>100</v>
      </c>
      <c r="I124" s="208"/>
      <c r="J124" s="205"/>
      <c r="K124" s="194"/>
    </row>
    <row r="125" spans="1:11" ht="16.5">
      <c r="A125" s="348"/>
      <c r="B125" s="349"/>
      <c r="C125" s="202" t="s">
        <v>137</v>
      </c>
      <c r="D125" s="208">
        <v>284</v>
      </c>
      <c r="E125" s="208">
        <v>308</v>
      </c>
      <c r="F125" s="208">
        <v>308</v>
      </c>
      <c r="G125" s="208">
        <v>308</v>
      </c>
      <c r="H125" s="204">
        <f t="shared" si="1"/>
        <v>108.45070422535213</v>
      </c>
      <c r="I125" s="208"/>
      <c r="J125" s="205"/>
      <c r="K125" s="194"/>
    </row>
    <row r="126" spans="1:11" ht="16.5">
      <c r="A126" s="350">
        <v>3</v>
      </c>
      <c r="B126" s="351" t="s">
        <v>223</v>
      </c>
      <c r="C126" s="191" t="s">
        <v>135</v>
      </c>
      <c r="D126" s="213">
        <v>175</v>
      </c>
      <c r="E126" s="213">
        <v>140</v>
      </c>
      <c r="F126" s="213">
        <v>140</v>
      </c>
      <c r="G126" s="213">
        <v>140</v>
      </c>
      <c r="H126" s="197">
        <f t="shared" si="1"/>
        <v>80</v>
      </c>
      <c r="I126" s="213"/>
      <c r="J126" s="198"/>
      <c r="K126" s="194"/>
    </row>
    <row r="127" spans="1:11" ht="16.5">
      <c r="A127" s="350"/>
      <c r="B127" s="351"/>
      <c r="C127" s="191" t="s">
        <v>137</v>
      </c>
      <c r="D127" s="213">
        <v>2500</v>
      </c>
      <c r="E127" s="213">
        <v>1120</v>
      </c>
      <c r="F127" s="213">
        <v>1120</v>
      </c>
      <c r="G127" s="213">
        <v>1120</v>
      </c>
      <c r="H127" s="197">
        <f t="shared" si="1"/>
        <v>44.800000000000004</v>
      </c>
      <c r="I127" s="213"/>
      <c r="J127" s="198"/>
      <c r="K127" s="194"/>
    </row>
    <row r="128" spans="1:11" ht="21.75" customHeight="1">
      <c r="A128" s="190">
        <v>4</v>
      </c>
      <c r="B128" s="212" t="s">
        <v>224</v>
      </c>
      <c r="C128" s="191" t="s">
        <v>135</v>
      </c>
      <c r="D128" s="213">
        <v>12</v>
      </c>
      <c r="E128" s="213">
        <v>12</v>
      </c>
      <c r="F128" s="213">
        <v>12</v>
      </c>
      <c r="G128" s="213">
        <v>12</v>
      </c>
      <c r="H128" s="197">
        <f t="shared" si="1"/>
        <v>100</v>
      </c>
      <c r="I128" s="213"/>
      <c r="J128" s="198"/>
      <c r="K128" s="194"/>
    </row>
    <row r="129" spans="1:11" ht="17.25" customHeight="1">
      <c r="A129" s="190">
        <v>5</v>
      </c>
      <c r="B129" s="212" t="s">
        <v>225</v>
      </c>
      <c r="C129" s="191" t="s">
        <v>135</v>
      </c>
      <c r="D129" s="213">
        <v>7</v>
      </c>
      <c r="E129" s="213">
        <v>8</v>
      </c>
      <c r="F129" s="213">
        <v>8</v>
      </c>
      <c r="G129" s="213">
        <v>8</v>
      </c>
      <c r="H129" s="197">
        <f t="shared" si="1"/>
        <v>114.28571428571428</v>
      </c>
      <c r="I129" s="213"/>
      <c r="J129" s="198"/>
      <c r="K129" s="194"/>
    </row>
    <row r="130" spans="1:11" ht="21.75" customHeight="1">
      <c r="A130" s="190" t="s">
        <v>226</v>
      </c>
      <c r="B130" s="196" t="s">
        <v>227</v>
      </c>
      <c r="C130" s="218"/>
      <c r="D130" s="219">
        <f>SUM(D131:D137)</f>
        <v>337316</v>
      </c>
      <c r="E130" s="219">
        <f>SUM(E131:E137)</f>
        <v>355795</v>
      </c>
      <c r="F130" s="219">
        <f>SUM(F131:F136)</f>
        <v>245000</v>
      </c>
      <c r="G130" s="219">
        <f>SUM(G131:G136)</f>
        <v>353254</v>
      </c>
      <c r="H130" s="197">
        <f t="shared" si="1"/>
        <v>104.72494634111634</v>
      </c>
      <c r="I130" s="219"/>
      <c r="J130" s="198"/>
      <c r="K130" s="194"/>
    </row>
    <row r="131" spans="1:11" ht="16.5">
      <c r="A131" s="195"/>
      <c r="B131" s="201" t="s">
        <v>228</v>
      </c>
      <c r="C131" s="220" t="s">
        <v>229</v>
      </c>
      <c r="D131" s="208">
        <v>180</v>
      </c>
      <c r="E131" s="208">
        <v>180</v>
      </c>
      <c r="F131" s="208">
        <v>176</v>
      </c>
      <c r="G131" s="208">
        <v>184</v>
      </c>
      <c r="H131" s="204">
        <f t="shared" si="1"/>
        <v>102.22222222222221</v>
      </c>
      <c r="I131" s="208"/>
      <c r="J131" s="205"/>
      <c r="K131" s="194"/>
    </row>
    <row r="132" spans="1:11" ht="16.5">
      <c r="A132" s="195"/>
      <c r="B132" s="221" t="s">
        <v>230</v>
      </c>
      <c r="C132" s="220" t="s">
        <v>229</v>
      </c>
      <c r="D132" s="208">
        <v>3620</v>
      </c>
      <c r="E132" s="208">
        <v>3700</v>
      </c>
      <c r="F132" s="208">
        <f>3390-176</f>
        <v>3214</v>
      </c>
      <c r="G132" s="208">
        <v>3685</v>
      </c>
      <c r="H132" s="204">
        <f t="shared" si="1"/>
        <v>101.79558011049723</v>
      </c>
      <c r="I132" s="208"/>
      <c r="J132" s="205"/>
      <c r="K132" s="194"/>
    </row>
    <row r="133" spans="1:11" ht="16.5">
      <c r="A133" s="195"/>
      <c r="B133" s="201" t="s">
        <v>231</v>
      </c>
      <c r="C133" s="220" t="s">
        <v>229</v>
      </c>
      <c r="D133" s="208">
        <v>18520</v>
      </c>
      <c r="E133" s="208">
        <v>19050</v>
      </c>
      <c r="F133" s="208">
        <v>14580</v>
      </c>
      <c r="G133" s="208">
        <v>17580</v>
      </c>
      <c r="H133" s="204">
        <f t="shared" si="1"/>
        <v>94.9244060475162</v>
      </c>
      <c r="I133" s="208"/>
      <c r="J133" s="205"/>
      <c r="K133" s="194"/>
    </row>
    <row r="134" spans="1:11" ht="16.5">
      <c r="A134" s="195"/>
      <c r="B134" s="201" t="s">
        <v>232</v>
      </c>
      <c r="C134" s="220" t="s">
        <v>229</v>
      </c>
      <c r="D134" s="208">
        <v>302442</v>
      </c>
      <c r="E134" s="208">
        <v>320000</v>
      </c>
      <c r="F134" s="208">
        <f>245000-F131-F132-F133-F135-F136</f>
        <v>217425</v>
      </c>
      <c r="G134" s="208">
        <v>322000</v>
      </c>
      <c r="H134" s="204">
        <f t="shared" si="1"/>
        <v>106.46669444058696</v>
      </c>
      <c r="I134" s="208"/>
      <c r="J134" s="205"/>
      <c r="K134" s="194"/>
    </row>
    <row r="135" spans="1:11" ht="16.5">
      <c r="A135" s="195"/>
      <c r="B135" s="201" t="s">
        <v>233</v>
      </c>
      <c r="C135" s="220" t="s">
        <v>229</v>
      </c>
      <c r="D135" s="208">
        <v>1028</v>
      </c>
      <c r="E135" s="208">
        <v>1050</v>
      </c>
      <c r="F135" s="208">
        <v>1095</v>
      </c>
      <c r="G135" s="208">
        <v>1155</v>
      </c>
      <c r="H135" s="204">
        <f t="shared" si="1"/>
        <v>112.35408560311284</v>
      </c>
      <c r="I135" s="208"/>
      <c r="J135" s="205"/>
      <c r="K135" s="194"/>
    </row>
    <row r="136" spans="1:11" ht="16.5">
      <c r="A136" s="195"/>
      <c r="B136" s="201" t="s">
        <v>234</v>
      </c>
      <c r="C136" s="220" t="s">
        <v>229</v>
      </c>
      <c r="D136" s="208">
        <v>8460</v>
      </c>
      <c r="E136" s="208">
        <v>8580</v>
      </c>
      <c r="F136" s="208">
        <v>8510</v>
      </c>
      <c r="G136" s="208">
        <v>8650</v>
      </c>
      <c r="H136" s="204">
        <f t="shared" si="1"/>
        <v>102.24586288416076</v>
      </c>
      <c r="I136" s="208"/>
      <c r="J136" s="205"/>
      <c r="K136" s="194"/>
    </row>
    <row r="137" spans="1:11" ht="16.5">
      <c r="A137" s="195"/>
      <c r="B137" s="201" t="s">
        <v>235</v>
      </c>
      <c r="C137" s="220" t="s">
        <v>236</v>
      </c>
      <c r="D137" s="208">
        <v>3066</v>
      </c>
      <c r="E137" s="208">
        <v>3235</v>
      </c>
      <c r="F137" s="208">
        <v>1250</v>
      </c>
      <c r="G137" s="208">
        <v>3450</v>
      </c>
      <c r="H137" s="204">
        <f t="shared" si="1"/>
        <v>112.52446183953033</v>
      </c>
      <c r="I137" s="208"/>
      <c r="J137" s="205"/>
      <c r="K137" s="194"/>
    </row>
    <row r="138" spans="1:11" ht="16.5">
      <c r="A138" s="190" t="s">
        <v>237</v>
      </c>
      <c r="B138" s="196" t="s">
        <v>238</v>
      </c>
      <c r="C138" s="191"/>
      <c r="D138" s="208"/>
      <c r="E138" s="208"/>
      <c r="F138" s="208"/>
      <c r="G138" s="208"/>
      <c r="H138" s="204"/>
      <c r="I138" s="208"/>
      <c r="J138" s="198"/>
      <c r="K138" s="194"/>
    </row>
    <row r="139" spans="1:11" ht="16.5">
      <c r="A139" s="195"/>
      <c r="B139" s="201" t="s">
        <v>239</v>
      </c>
      <c r="C139" s="202" t="s">
        <v>240</v>
      </c>
      <c r="D139" s="208">
        <v>330</v>
      </c>
      <c r="E139" s="208">
        <v>330</v>
      </c>
      <c r="F139" s="208">
        <v>330</v>
      </c>
      <c r="G139" s="208">
        <v>330</v>
      </c>
      <c r="H139" s="204">
        <f aca="true" t="shared" si="3" ref="H139:H152">G139/D139*100</f>
        <v>100</v>
      </c>
      <c r="I139" s="208"/>
      <c r="J139" s="205"/>
      <c r="K139" s="194"/>
    </row>
    <row r="140" spans="1:11" ht="16.5">
      <c r="A140" s="195"/>
      <c r="B140" s="201" t="s">
        <v>241</v>
      </c>
      <c r="C140" s="202" t="s">
        <v>242</v>
      </c>
      <c r="D140" s="208">
        <v>690</v>
      </c>
      <c r="E140" s="208">
        <v>690</v>
      </c>
      <c r="F140" s="208">
        <v>310</v>
      </c>
      <c r="G140" s="208">
        <v>695</v>
      </c>
      <c r="H140" s="204">
        <f t="shared" si="3"/>
        <v>100.72463768115942</v>
      </c>
      <c r="I140" s="208"/>
      <c r="J140" s="205"/>
      <c r="K140" s="194"/>
    </row>
    <row r="141" spans="1:11" ht="33.75" customHeight="1">
      <c r="A141" s="195"/>
      <c r="B141" s="222" t="s">
        <v>243</v>
      </c>
      <c r="C141" s="202" t="s">
        <v>242</v>
      </c>
      <c r="D141" s="208">
        <v>476</v>
      </c>
      <c r="E141" s="208">
        <v>476</v>
      </c>
      <c r="F141" s="208">
        <v>240</v>
      </c>
      <c r="G141" s="208">
        <v>485</v>
      </c>
      <c r="H141" s="204">
        <f t="shared" si="3"/>
        <v>101.890756302521</v>
      </c>
      <c r="I141" s="208"/>
      <c r="J141" s="205"/>
      <c r="K141" s="194"/>
    </row>
    <row r="142" spans="1:11" ht="17.25">
      <c r="A142" s="223" t="s">
        <v>244</v>
      </c>
      <c r="B142" s="223" t="s">
        <v>245</v>
      </c>
      <c r="C142" s="193"/>
      <c r="D142" s="208"/>
      <c r="E142" s="208"/>
      <c r="F142" s="208"/>
      <c r="G142" s="208"/>
      <c r="H142" s="197"/>
      <c r="I142" s="208"/>
      <c r="J142" s="198"/>
      <c r="K142" s="194"/>
    </row>
    <row r="143" spans="1:11" ht="22.5" customHeight="1">
      <c r="A143" s="224"/>
      <c r="B143" s="225" t="s">
        <v>246</v>
      </c>
      <c r="C143" s="226"/>
      <c r="D143" s="227"/>
      <c r="E143" s="227"/>
      <c r="F143" s="227"/>
      <c r="G143" s="227"/>
      <c r="H143" s="197"/>
      <c r="I143" s="227"/>
      <c r="J143" s="198"/>
      <c r="K143" s="194"/>
    </row>
    <row r="144" spans="1:11" ht="19.5" customHeight="1">
      <c r="A144" s="228">
        <v>1</v>
      </c>
      <c r="B144" s="229" t="s">
        <v>247</v>
      </c>
      <c r="C144" s="228" t="s">
        <v>248</v>
      </c>
      <c r="D144" s="230">
        <v>61</v>
      </c>
      <c r="E144" s="230">
        <v>67</v>
      </c>
      <c r="F144" s="231">
        <v>37.1</v>
      </c>
      <c r="G144" s="230">
        <v>69</v>
      </c>
      <c r="H144" s="204">
        <f t="shared" si="3"/>
        <v>113.11475409836065</v>
      </c>
      <c r="I144" s="230">
        <v>77</v>
      </c>
      <c r="J144" s="204"/>
      <c r="K144" s="194"/>
    </row>
    <row r="145" spans="1:11" ht="20.25" customHeight="1">
      <c r="A145" s="228">
        <v>2</v>
      </c>
      <c r="B145" s="232" t="s">
        <v>249</v>
      </c>
      <c r="C145" s="228" t="s">
        <v>250</v>
      </c>
      <c r="D145" s="230">
        <v>400</v>
      </c>
      <c r="E145" s="230">
        <v>430</v>
      </c>
      <c r="F145" s="230">
        <v>229</v>
      </c>
      <c r="G145" s="230">
        <v>450</v>
      </c>
      <c r="H145" s="204">
        <f t="shared" si="3"/>
        <v>112.5</v>
      </c>
      <c r="I145" s="230">
        <v>460</v>
      </c>
      <c r="J145" s="204"/>
      <c r="K145" s="194"/>
    </row>
    <row r="146" spans="1:11" ht="21" customHeight="1">
      <c r="A146" s="228">
        <v>3</v>
      </c>
      <c r="B146" s="229" t="s">
        <v>251</v>
      </c>
      <c r="C146" s="228" t="s">
        <v>252</v>
      </c>
      <c r="D146" s="230">
        <v>52</v>
      </c>
      <c r="E146" s="230">
        <v>53</v>
      </c>
      <c r="F146" s="230">
        <v>35</v>
      </c>
      <c r="G146" s="230">
        <v>53</v>
      </c>
      <c r="H146" s="204">
        <f t="shared" si="3"/>
        <v>101.92307692307692</v>
      </c>
      <c r="I146" s="230">
        <v>54</v>
      </c>
      <c r="J146" s="205"/>
      <c r="K146" s="194"/>
    </row>
    <row r="147" spans="1:11" ht="16.5">
      <c r="A147" s="228">
        <v>4</v>
      </c>
      <c r="B147" s="233" t="s">
        <v>253</v>
      </c>
      <c r="C147" s="228" t="s">
        <v>242</v>
      </c>
      <c r="D147" s="230">
        <v>290</v>
      </c>
      <c r="E147" s="230">
        <v>340</v>
      </c>
      <c r="F147" s="230">
        <v>180</v>
      </c>
      <c r="G147" s="230">
        <v>340</v>
      </c>
      <c r="H147" s="204">
        <f t="shared" si="3"/>
        <v>117.24137931034481</v>
      </c>
      <c r="I147" s="230">
        <v>400</v>
      </c>
      <c r="J147" s="204"/>
      <c r="K147" s="194"/>
    </row>
    <row r="148" spans="1:11" ht="16.5">
      <c r="A148" s="228">
        <v>5</v>
      </c>
      <c r="B148" s="232" t="s">
        <v>254</v>
      </c>
      <c r="C148" s="228" t="s">
        <v>255</v>
      </c>
      <c r="D148" s="230">
        <v>550</v>
      </c>
      <c r="E148" s="230">
        <v>610</v>
      </c>
      <c r="F148" s="230">
        <v>312</v>
      </c>
      <c r="G148" s="230">
        <v>620</v>
      </c>
      <c r="H148" s="204">
        <f t="shared" si="3"/>
        <v>112.72727272727272</v>
      </c>
      <c r="I148" s="230">
        <v>680</v>
      </c>
      <c r="J148" s="204"/>
      <c r="K148" s="194"/>
    </row>
    <row r="149" spans="1:11" ht="16.5">
      <c r="A149" s="228">
        <v>6</v>
      </c>
      <c r="B149" s="232" t="s">
        <v>256</v>
      </c>
      <c r="C149" s="228" t="s">
        <v>242</v>
      </c>
      <c r="D149" s="230">
        <v>1500</v>
      </c>
      <c r="E149" s="230">
        <v>1660</v>
      </c>
      <c r="F149" s="230">
        <v>915</v>
      </c>
      <c r="G149" s="230">
        <v>1680</v>
      </c>
      <c r="H149" s="204">
        <f t="shared" si="3"/>
        <v>112.00000000000001</v>
      </c>
      <c r="I149" s="230">
        <v>1840</v>
      </c>
      <c r="J149" s="204"/>
      <c r="K149" s="194"/>
    </row>
    <row r="150" spans="1:11" ht="16.5">
      <c r="A150" s="228">
        <v>7</v>
      </c>
      <c r="B150" s="232" t="s">
        <v>257</v>
      </c>
      <c r="C150" s="228" t="s">
        <v>242</v>
      </c>
      <c r="D150" s="230">
        <v>480</v>
      </c>
      <c r="E150" s="230">
        <v>450</v>
      </c>
      <c r="F150" s="230">
        <v>202</v>
      </c>
      <c r="G150" s="230">
        <v>400</v>
      </c>
      <c r="H150" s="204">
        <f t="shared" si="3"/>
        <v>83.33333333333334</v>
      </c>
      <c r="I150" s="230">
        <v>440</v>
      </c>
      <c r="J150" s="204"/>
      <c r="K150" s="194"/>
    </row>
    <row r="151" spans="1:11" ht="16.5">
      <c r="A151" s="228">
        <v>8</v>
      </c>
      <c r="B151" s="232" t="s">
        <v>258</v>
      </c>
      <c r="C151" s="228" t="s">
        <v>250</v>
      </c>
      <c r="D151" s="230">
        <v>700</v>
      </c>
      <c r="E151" s="230">
        <v>770</v>
      </c>
      <c r="F151" s="230">
        <v>401</v>
      </c>
      <c r="G151" s="230">
        <v>785</v>
      </c>
      <c r="H151" s="204">
        <f t="shared" si="3"/>
        <v>112.14285714285714</v>
      </c>
      <c r="I151" s="230">
        <v>850</v>
      </c>
      <c r="J151" s="204"/>
      <c r="K151" s="194"/>
    </row>
    <row r="152" spans="1:11" ht="16.5">
      <c r="A152" s="228">
        <v>9</v>
      </c>
      <c r="B152" s="232" t="s">
        <v>259</v>
      </c>
      <c r="C152" s="228" t="s">
        <v>260</v>
      </c>
      <c r="D152" s="230">
        <v>4700</v>
      </c>
      <c r="E152" s="230">
        <v>5800</v>
      </c>
      <c r="F152" s="230">
        <v>2650</v>
      </c>
      <c r="G152" s="230">
        <v>5500</v>
      </c>
      <c r="H152" s="204">
        <f t="shared" si="3"/>
        <v>117.02127659574468</v>
      </c>
      <c r="I152" s="230">
        <v>6300</v>
      </c>
      <c r="J152" s="204"/>
      <c r="K152" s="194"/>
    </row>
    <row r="153" spans="1:11" ht="16.5">
      <c r="A153" s="234"/>
      <c r="B153" s="234"/>
      <c r="C153" s="234"/>
      <c r="D153" s="235"/>
      <c r="E153" s="234"/>
      <c r="F153" s="234"/>
      <c r="G153" s="234"/>
      <c r="H153" s="234"/>
      <c r="I153" s="234"/>
      <c r="J153" s="234"/>
      <c r="K153" s="234"/>
    </row>
  </sheetData>
  <sheetProtection/>
  <mergeCells count="116">
    <mergeCell ref="E5:H7"/>
    <mergeCell ref="I5:I8"/>
    <mergeCell ref="J5:J8"/>
    <mergeCell ref="K5:K8"/>
    <mergeCell ref="A1:K1"/>
    <mergeCell ref="A2:K2"/>
    <mergeCell ref="A3:K3"/>
    <mergeCell ref="A4:G4"/>
    <mergeCell ref="A22:A23"/>
    <mergeCell ref="B22:B23"/>
    <mergeCell ref="A16:A17"/>
    <mergeCell ref="B16:B17"/>
    <mergeCell ref="A18:A19"/>
    <mergeCell ref="B18:B19"/>
    <mergeCell ref="C5:C8"/>
    <mergeCell ref="D5:D8"/>
    <mergeCell ref="A20:A21"/>
    <mergeCell ref="B20:B21"/>
    <mergeCell ref="A5:A8"/>
    <mergeCell ref="B5:B8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44:A45"/>
    <mergeCell ref="B44:B45"/>
    <mergeCell ref="A46:A47"/>
    <mergeCell ref="B46:B47"/>
    <mergeCell ref="A48:A49"/>
    <mergeCell ref="B48:B49"/>
    <mergeCell ref="A50:A51"/>
    <mergeCell ref="B50:B51"/>
    <mergeCell ref="A52:A53"/>
    <mergeCell ref="B52:B53"/>
    <mergeCell ref="A54:A55"/>
    <mergeCell ref="B54:B55"/>
    <mergeCell ref="A56:A57"/>
    <mergeCell ref="B56:B57"/>
    <mergeCell ref="A58:A59"/>
    <mergeCell ref="B58:B59"/>
    <mergeCell ref="A60:A61"/>
    <mergeCell ref="B60:B61"/>
    <mergeCell ref="A62:A63"/>
    <mergeCell ref="B62:B63"/>
    <mergeCell ref="A64:A65"/>
    <mergeCell ref="B64:B65"/>
    <mergeCell ref="A66:A67"/>
    <mergeCell ref="B66:B67"/>
    <mergeCell ref="A68:A69"/>
    <mergeCell ref="B68:B69"/>
    <mergeCell ref="A70:A71"/>
    <mergeCell ref="B70:B71"/>
    <mergeCell ref="A72:A73"/>
    <mergeCell ref="B72:B73"/>
    <mergeCell ref="A74:A75"/>
    <mergeCell ref="B74:B75"/>
    <mergeCell ref="A76:A77"/>
    <mergeCell ref="B76:B77"/>
    <mergeCell ref="A78:A79"/>
    <mergeCell ref="B78:B79"/>
    <mergeCell ref="A82:A85"/>
    <mergeCell ref="B82:B85"/>
    <mergeCell ref="A86:A87"/>
    <mergeCell ref="B86:B87"/>
    <mergeCell ref="A88:A89"/>
    <mergeCell ref="B88:B89"/>
    <mergeCell ref="A90:A93"/>
    <mergeCell ref="B90:B93"/>
    <mergeCell ref="A94:A97"/>
    <mergeCell ref="B94:B97"/>
    <mergeCell ref="A98:A99"/>
    <mergeCell ref="B98:B99"/>
    <mergeCell ref="A100:A101"/>
    <mergeCell ref="B100:B101"/>
    <mergeCell ref="A102:A103"/>
    <mergeCell ref="B102:B103"/>
    <mergeCell ref="A104:A105"/>
    <mergeCell ref="B104:B105"/>
    <mergeCell ref="A106:A107"/>
    <mergeCell ref="B106:B107"/>
    <mergeCell ref="A108:A109"/>
    <mergeCell ref="B108:B109"/>
    <mergeCell ref="A110:A111"/>
    <mergeCell ref="B110:B111"/>
    <mergeCell ref="A112:A113"/>
    <mergeCell ref="B112:B113"/>
    <mergeCell ref="A114:A115"/>
    <mergeCell ref="B114:B115"/>
    <mergeCell ref="A116:A117"/>
    <mergeCell ref="B116:B117"/>
    <mergeCell ref="A118:A119"/>
    <mergeCell ref="B118:B119"/>
    <mergeCell ref="A120:A121"/>
    <mergeCell ref="B120:B121"/>
    <mergeCell ref="A122:A123"/>
    <mergeCell ref="B122:B123"/>
    <mergeCell ref="A124:A125"/>
    <mergeCell ref="B124:B125"/>
    <mergeCell ref="A126:A127"/>
    <mergeCell ref="B126:B12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8"/>
  <sheetViews>
    <sheetView zoomScalePageLayoutView="0" workbookViewId="0" topLeftCell="A1">
      <selection activeCell="D5" sqref="D5:D8"/>
    </sheetView>
  </sheetViews>
  <sheetFormatPr defaultColWidth="8.88671875" defaultRowHeight="16.5"/>
  <cols>
    <col min="1" max="1" width="4.3359375" style="0" customWidth="1"/>
    <col min="2" max="2" width="28.10546875" style="0" customWidth="1"/>
    <col min="3" max="3" width="10.3359375" style="0" customWidth="1"/>
    <col min="4" max="4" width="10.4453125" style="0" customWidth="1"/>
    <col min="5" max="5" width="12.3359375" style="0" customWidth="1"/>
    <col min="6" max="6" width="10.99609375" style="0" customWidth="1"/>
    <col min="7" max="7" width="11.10546875" style="0" customWidth="1"/>
    <col min="8" max="8" width="8.99609375" style="0" customWidth="1"/>
    <col min="9" max="10" width="8.99609375" style="0" hidden="1" customWidth="1"/>
    <col min="11" max="11" width="12.3359375" style="0" customWidth="1"/>
    <col min="15" max="15" width="7.4453125" style="0" bestFit="1" customWidth="1"/>
  </cols>
  <sheetData>
    <row r="1" spans="1:11" ht="16.5">
      <c r="A1" s="361" t="s">
        <v>121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</row>
    <row r="2" spans="1:11" ht="19.5">
      <c r="A2" s="362" t="s">
        <v>122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</row>
    <row r="3" spans="1:11" ht="16.5">
      <c r="A3" s="363" t="s">
        <v>4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</row>
    <row r="4" spans="1:13" ht="16.5">
      <c r="A4" s="364"/>
      <c r="B4" s="364"/>
      <c r="C4" s="364"/>
      <c r="D4" s="364"/>
      <c r="E4" s="364"/>
      <c r="F4" s="364"/>
      <c r="G4" s="364"/>
      <c r="H4" s="186"/>
      <c r="I4" s="186"/>
      <c r="J4" s="186"/>
      <c r="K4" s="187"/>
      <c r="L4" s="187"/>
      <c r="M4" s="187"/>
    </row>
    <row r="5" spans="1:11" ht="15" customHeight="1">
      <c r="A5" s="359" t="s">
        <v>5</v>
      </c>
      <c r="B5" s="360" t="s">
        <v>6</v>
      </c>
      <c r="C5" s="355" t="s">
        <v>123</v>
      </c>
      <c r="D5" s="356" t="s">
        <v>124</v>
      </c>
      <c r="E5" s="365" t="s">
        <v>125</v>
      </c>
      <c r="F5" s="366"/>
      <c r="G5" s="366"/>
      <c r="H5" s="367"/>
      <c r="I5" s="374" t="s">
        <v>126</v>
      </c>
      <c r="J5" s="374" t="s">
        <v>127</v>
      </c>
      <c r="K5" s="377" t="s">
        <v>13</v>
      </c>
    </row>
    <row r="6" spans="1:11" ht="15" customHeight="1">
      <c r="A6" s="359"/>
      <c r="B6" s="360"/>
      <c r="C6" s="355"/>
      <c r="D6" s="357"/>
      <c r="E6" s="368"/>
      <c r="F6" s="369"/>
      <c r="G6" s="369"/>
      <c r="H6" s="370"/>
      <c r="I6" s="375"/>
      <c r="J6" s="375"/>
      <c r="K6" s="378"/>
    </row>
    <row r="7" spans="1:11" ht="15" customHeight="1">
      <c r="A7" s="359"/>
      <c r="B7" s="360"/>
      <c r="C7" s="355"/>
      <c r="D7" s="357"/>
      <c r="E7" s="371"/>
      <c r="F7" s="372"/>
      <c r="G7" s="372"/>
      <c r="H7" s="373"/>
      <c r="I7" s="375"/>
      <c r="J7" s="375"/>
      <c r="K7" s="378"/>
    </row>
    <row r="8" spans="1:11" ht="72.75" customHeight="1">
      <c r="A8" s="359"/>
      <c r="B8" s="360"/>
      <c r="C8" s="355"/>
      <c r="D8" s="358"/>
      <c r="E8" s="189" t="s">
        <v>128</v>
      </c>
      <c r="F8" s="188" t="s">
        <v>129</v>
      </c>
      <c r="G8" s="188" t="s">
        <v>130</v>
      </c>
      <c r="H8" s="188" t="s">
        <v>131</v>
      </c>
      <c r="I8" s="376"/>
      <c r="J8" s="376"/>
      <c r="K8" s="379"/>
    </row>
    <row r="9" spans="1:11" ht="17.25">
      <c r="A9" s="190" t="s">
        <v>132</v>
      </c>
      <c r="B9" s="191" t="s">
        <v>133</v>
      </c>
      <c r="C9" s="192"/>
      <c r="D9" s="192"/>
      <c r="E9" s="193"/>
      <c r="F9" s="193"/>
      <c r="G9" s="193"/>
      <c r="H9" s="193"/>
      <c r="I9" s="193"/>
      <c r="J9" s="193"/>
      <c r="K9" s="194"/>
    </row>
    <row r="10" spans="1:16" ht="16.5">
      <c r="A10" s="195"/>
      <c r="B10" s="196" t="s">
        <v>134</v>
      </c>
      <c r="C10" s="191" t="s">
        <v>135</v>
      </c>
      <c r="D10" s="197">
        <f>D14+D80</f>
        <v>54034</v>
      </c>
      <c r="E10" s="197">
        <f>E16+E24+E32+E44+E62+E78+E80</f>
        <v>54262</v>
      </c>
      <c r="F10" s="197">
        <f>F14+F80</f>
        <v>45527</v>
      </c>
      <c r="G10" s="197">
        <f>G14+G80</f>
        <v>54045</v>
      </c>
      <c r="H10" s="197">
        <f>G10/D10*100</f>
        <v>100.02035755265204</v>
      </c>
      <c r="I10" s="197">
        <f>I14+I80</f>
        <v>53613</v>
      </c>
      <c r="J10" s="271">
        <f>I10/G10</f>
        <v>0.9920066611157369</v>
      </c>
      <c r="K10" s="194"/>
      <c r="P10">
        <f>26679+27247</f>
        <v>53926</v>
      </c>
    </row>
    <row r="11" spans="1:11" ht="16.5">
      <c r="A11" s="195"/>
      <c r="B11" s="196" t="s">
        <v>136</v>
      </c>
      <c r="C11" s="191" t="s">
        <v>137</v>
      </c>
      <c r="D11" s="199">
        <f>D12+D13</f>
        <v>92197</v>
      </c>
      <c r="E11" s="199">
        <f>E12+E13</f>
        <v>93103</v>
      </c>
      <c r="F11" s="200">
        <f>F15+F17+F23+F25</f>
        <v>107006</v>
      </c>
      <c r="G11" s="200">
        <f>G12+G13</f>
        <v>91603</v>
      </c>
      <c r="H11" s="197">
        <f aca="true" t="shared" si="0" ref="H11:H74">G11/D11*100</f>
        <v>99.35572740978557</v>
      </c>
      <c r="I11" s="199">
        <f>I12+I13</f>
        <v>90278</v>
      </c>
      <c r="J11" s="271">
        <f aca="true" t="shared" si="1" ref="J11:J74">I11/G11</f>
        <v>0.9855354082289881</v>
      </c>
      <c r="K11" s="194"/>
    </row>
    <row r="12" spans="1:11" ht="16.5">
      <c r="A12" s="195"/>
      <c r="B12" s="201" t="s">
        <v>138</v>
      </c>
      <c r="C12" s="202" t="s">
        <v>137</v>
      </c>
      <c r="D12" s="203">
        <v>9620</v>
      </c>
      <c r="E12" s="203">
        <v>9619</v>
      </c>
      <c r="F12" s="203">
        <f>F19+F21</f>
        <v>9620</v>
      </c>
      <c r="G12" s="203">
        <f>F12</f>
        <v>9620</v>
      </c>
      <c r="H12" s="204">
        <f t="shared" si="0"/>
        <v>100</v>
      </c>
      <c r="I12" s="203">
        <f>I17</f>
        <v>10095</v>
      </c>
      <c r="J12" s="272">
        <f t="shared" si="1"/>
        <v>1.0493762993762994</v>
      </c>
      <c r="K12" s="194"/>
    </row>
    <row r="13" spans="1:14" ht="16.5">
      <c r="A13" s="195"/>
      <c r="B13" s="201" t="s">
        <v>139</v>
      </c>
      <c r="C13" s="202" t="s">
        <v>137</v>
      </c>
      <c r="D13" s="206">
        <v>82577</v>
      </c>
      <c r="E13" s="206">
        <v>83484</v>
      </c>
      <c r="F13" s="206">
        <f>F27+F29</f>
        <v>43883</v>
      </c>
      <c r="G13" s="206">
        <f>F13+G31</f>
        <v>81983</v>
      </c>
      <c r="H13" s="204">
        <f>G13/D13*100</f>
        <v>99.28067137338485</v>
      </c>
      <c r="I13" s="206">
        <f>I25</f>
        <v>80183</v>
      </c>
      <c r="J13" s="272">
        <f t="shared" si="1"/>
        <v>0.9780442286815559</v>
      </c>
      <c r="K13" s="194"/>
      <c r="N13" t="s">
        <v>120</v>
      </c>
    </row>
    <row r="14" spans="1:11" ht="16.5">
      <c r="A14" s="190" t="s">
        <v>19</v>
      </c>
      <c r="B14" s="196" t="s">
        <v>140</v>
      </c>
      <c r="C14" s="191" t="s">
        <v>135</v>
      </c>
      <c r="D14" s="200">
        <f>D16+D24+D32+D44+D62+D78</f>
        <v>26728</v>
      </c>
      <c r="E14" s="200">
        <f>E16+E24+E32+E44+E62+E78</f>
        <v>26936</v>
      </c>
      <c r="F14" s="200">
        <f>SUM(F18+F20+F26+F28+F34+F38+F40+F48+F52+F56+F58+F66+F72+F76+F78)</f>
        <v>18171</v>
      </c>
      <c r="G14" s="200">
        <f>G16+G24+G32+G44+G62+G78</f>
        <v>26689</v>
      </c>
      <c r="H14" s="197">
        <f>G14/D14*100</f>
        <v>99.85408560311284</v>
      </c>
      <c r="I14" s="200">
        <f>I16+I24+I32+I44+I62+I78</f>
        <v>26043</v>
      </c>
      <c r="J14" s="271">
        <f t="shared" si="1"/>
        <v>0.9757952714601521</v>
      </c>
      <c r="K14" s="194"/>
    </row>
    <row r="15" spans="1:15" ht="16.5">
      <c r="A15" s="190">
        <v>1</v>
      </c>
      <c r="B15" s="196" t="s">
        <v>141</v>
      </c>
      <c r="C15" s="191" t="s">
        <v>135</v>
      </c>
      <c r="D15" s="200">
        <f>D17+D25</f>
        <v>92197</v>
      </c>
      <c r="E15" s="200">
        <f>E17+E25</f>
        <v>93103</v>
      </c>
      <c r="F15" s="200">
        <f>F19+F21+F27+F29</f>
        <v>53503</v>
      </c>
      <c r="G15" s="200">
        <f>G17+G25</f>
        <v>91603</v>
      </c>
      <c r="H15" s="197">
        <f t="shared" si="0"/>
        <v>99.35572740978557</v>
      </c>
      <c r="I15" s="200">
        <f>I17+I25</f>
        <v>90278</v>
      </c>
      <c r="J15" s="271">
        <f t="shared" si="1"/>
        <v>0.9855354082289881</v>
      </c>
      <c r="K15" s="194"/>
      <c r="M15" s="209">
        <f>F18+F20+F26+F28+F30+F34+F38+F40+F42+F48+F50+F52+F56+F58+F66+F68+F72</f>
        <v>17921</v>
      </c>
      <c r="N15" t="s">
        <v>120</v>
      </c>
      <c r="O15" s="207">
        <f>E14+28309</f>
        <v>55245</v>
      </c>
    </row>
    <row r="16" spans="1:13" ht="16.5">
      <c r="A16" s="348" t="s">
        <v>142</v>
      </c>
      <c r="B16" s="353" t="s">
        <v>143</v>
      </c>
      <c r="C16" s="202" t="s">
        <v>135</v>
      </c>
      <c r="D16" s="206">
        <f aca="true" t="shared" si="2" ref="D16:G17">D18+D20</f>
        <v>1700</v>
      </c>
      <c r="E16" s="206">
        <f t="shared" si="2"/>
        <v>1700</v>
      </c>
      <c r="F16" s="206">
        <f t="shared" si="2"/>
        <v>1700</v>
      </c>
      <c r="G16" s="206">
        <f t="shared" si="2"/>
        <v>1700</v>
      </c>
      <c r="H16" s="204">
        <f t="shared" si="0"/>
        <v>100</v>
      </c>
      <c r="I16" s="206">
        <f>I18+I20</f>
        <v>1700</v>
      </c>
      <c r="J16" s="272">
        <f t="shared" si="1"/>
        <v>1</v>
      </c>
      <c r="K16" s="194"/>
      <c r="M16" s="207">
        <f>F14-M15</f>
        <v>250</v>
      </c>
    </row>
    <row r="17" spans="1:11" ht="16.5">
      <c r="A17" s="348"/>
      <c r="B17" s="353"/>
      <c r="C17" s="202" t="s">
        <v>137</v>
      </c>
      <c r="D17" s="206">
        <f t="shared" si="2"/>
        <v>9620</v>
      </c>
      <c r="E17" s="206">
        <f t="shared" si="2"/>
        <v>9620</v>
      </c>
      <c r="F17" s="206">
        <f t="shared" si="2"/>
        <v>9620</v>
      </c>
      <c r="G17" s="206">
        <f t="shared" si="2"/>
        <v>9620</v>
      </c>
      <c r="H17" s="204">
        <f t="shared" si="0"/>
        <v>100</v>
      </c>
      <c r="I17" s="206">
        <f>I19+I21</f>
        <v>10095</v>
      </c>
      <c r="J17" s="272">
        <f t="shared" si="1"/>
        <v>1.0493762993762994</v>
      </c>
      <c r="K17" s="194"/>
    </row>
    <row r="18" spans="1:11" ht="16.5">
      <c r="A18" s="348"/>
      <c r="B18" s="353" t="s">
        <v>144</v>
      </c>
      <c r="C18" s="202" t="s">
        <v>135</v>
      </c>
      <c r="D18" s="208">
        <v>650</v>
      </c>
      <c r="E18" s="208">
        <v>650</v>
      </c>
      <c r="F18" s="208">
        <v>650</v>
      </c>
      <c r="G18" s="208">
        <v>650</v>
      </c>
      <c r="H18" s="204">
        <f t="shared" si="0"/>
        <v>100</v>
      </c>
      <c r="I18" s="208">
        <v>650</v>
      </c>
      <c r="J18" s="272">
        <f t="shared" si="1"/>
        <v>1</v>
      </c>
      <c r="K18" s="194"/>
    </row>
    <row r="19" spans="1:16" ht="16.5">
      <c r="A19" s="348"/>
      <c r="B19" s="353"/>
      <c r="C19" s="202" t="s">
        <v>137</v>
      </c>
      <c r="D19" s="208">
        <v>3635</v>
      </c>
      <c r="E19" s="208">
        <v>3635</v>
      </c>
      <c r="F19" s="208">
        <v>3635</v>
      </c>
      <c r="G19" s="208">
        <v>3635</v>
      </c>
      <c r="H19" s="204">
        <f t="shared" si="0"/>
        <v>100</v>
      </c>
      <c r="I19" s="208">
        <f>I18*6</f>
        <v>3900</v>
      </c>
      <c r="J19" s="272">
        <f t="shared" si="1"/>
        <v>1.0729023383768914</v>
      </c>
      <c r="K19" s="194"/>
      <c r="P19">
        <f>45322-44485</f>
        <v>837</v>
      </c>
    </row>
    <row r="20" spans="1:11" ht="16.5">
      <c r="A20" s="348"/>
      <c r="B20" s="353" t="s">
        <v>145</v>
      </c>
      <c r="C20" s="202" t="s">
        <v>135</v>
      </c>
      <c r="D20" s="208">
        <v>1050</v>
      </c>
      <c r="E20" s="208">
        <v>1050</v>
      </c>
      <c r="F20" s="208">
        <v>1050</v>
      </c>
      <c r="G20" s="208">
        <v>1050</v>
      </c>
      <c r="H20" s="204">
        <f t="shared" si="0"/>
        <v>100</v>
      </c>
      <c r="I20" s="208">
        <v>1050</v>
      </c>
      <c r="J20" s="272">
        <f t="shared" si="1"/>
        <v>1</v>
      </c>
      <c r="K20" s="194"/>
    </row>
    <row r="21" spans="1:16" ht="16.5">
      <c r="A21" s="348"/>
      <c r="B21" s="353"/>
      <c r="C21" s="202" t="s">
        <v>137</v>
      </c>
      <c r="D21" s="208">
        <v>5985</v>
      </c>
      <c r="E21" s="208">
        <v>5985</v>
      </c>
      <c r="F21" s="208">
        <v>5985</v>
      </c>
      <c r="G21" s="208">
        <v>5985</v>
      </c>
      <c r="H21" s="204">
        <f t="shared" si="0"/>
        <v>100</v>
      </c>
      <c r="I21" s="208">
        <f>I20*5.9</f>
        <v>6195</v>
      </c>
      <c r="J21" s="272">
        <f t="shared" si="1"/>
        <v>1.0350877192982457</v>
      </c>
      <c r="K21" s="194"/>
      <c r="P21" s="207">
        <f>F15/51457</f>
        <v>1.03976135414035</v>
      </c>
    </row>
    <row r="22" spans="1:11" ht="16.5">
      <c r="A22" s="348" t="s">
        <v>146</v>
      </c>
      <c r="B22" s="353" t="s">
        <v>147</v>
      </c>
      <c r="C22" s="202" t="s">
        <v>135</v>
      </c>
      <c r="D22" s="208"/>
      <c r="E22" s="208"/>
      <c r="F22" s="208"/>
      <c r="G22" s="208"/>
      <c r="H22" s="197"/>
      <c r="I22" s="208"/>
      <c r="J22" s="272"/>
      <c r="K22" s="194"/>
    </row>
    <row r="23" spans="1:11" ht="16.5">
      <c r="A23" s="348"/>
      <c r="B23" s="353"/>
      <c r="C23" s="202" t="s">
        <v>137</v>
      </c>
      <c r="D23" s="208"/>
      <c r="E23" s="208"/>
      <c r="F23" s="208"/>
      <c r="G23" s="208"/>
      <c r="H23" s="197"/>
      <c r="I23" s="208"/>
      <c r="J23" s="272"/>
      <c r="K23" s="194"/>
    </row>
    <row r="24" spans="1:11" ht="16.5">
      <c r="A24" s="348" t="s">
        <v>148</v>
      </c>
      <c r="B24" s="353" t="s">
        <v>149</v>
      </c>
      <c r="C24" s="202" t="s">
        <v>135</v>
      </c>
      <c r="D24" s="203">
        <v>13840</v>
      </c>
      <c r="E24" s="203">
        <v>13915</v>
      </c>
      <c r="F24" s="203">
        <f>F26+F28+F30</f>
        <v>7315</v>
      </c>
      <c r="G24" s="203">
        <f>G26+G28+G30</f>
        <v>13665</v>
      </c>
      <c r="H24" s="204">
        <f t="shared" si="0"/>
        <v>98.73554913294798</v>
      </c>
      <c r="I24" s="203">
        <f>I26+I28+I30</f>
        <v>13365</v>
      </c>
      <c r="J24" s="272">
        <f t="shared" si="1"/>
        <v>0.9780461031833151</v>
      </c>
      <c r="K24" s="194"/>
    </row>
    <row r="25" spans="1:11" ht="16.5">
      <c r="A25" s="348"/>
      <c r="B25" s="353"/>
      <c r="C25" s="202" t="s">
        <v>137</v>
      </c>
      <c r="D25" s="203">
        <v>82577</v>
      </c>
      <c r="E25" s="203">
        <v>83483</v>
      </c>
      <c r="F25" s="203">
        <f>F27+F29+F31</f>
        <v>43883</v>
      </c>
      <c r="G25" s="203">
        <f>G27+G29+G31</f>
        <v>81983</v>
      </c>
      <c r="H25" s="204">
        <f t="shared" si="0"/>
        <v>99.28067137338485</v>
      </c>
      <c r="I25" s="203">
        <f>I27+I29+I31</f>
        <v>80183</v>
      </c>
      <c r="J25" s="272">
        <f t="shared" si="1"/>
        <v>0.9780442286815559</v>
      </c>
      <c r="K25" s="194"/>
    </row>
    <row r="26" spans="1:11" ht="16.5">
      <c r="A26" s="348"/>
      <c r="B26" s="353" t="s">
        <v>150</v>
      </c>
      <c r="C26" s="202" t="s">
        <v>135</v>
      </c>
      <c r="D26" s="208">
        <v>15</v>
      </c>
      <c r="E26" s="208">
        <v>15</v>
      </c>
      <c r="F26" s="208">
        <v>15</v>
      </c>
      <c r="G26" s="208">
        <v>15</v>
      </c>
      <c r="H26" s="204">
        <f t="shared" si="0"/>
        <v>100</v>
      </c>
      <c r="I26" s="208">
        <v>15</v>
      </c>
      <c r="J26" s="272">
        <f t="shared" si="1"/>
        <v>1</v>
      </c>
      <c r="K26" s="194"/>
    </row>
    <row r="27" spans="1:11" ht="16.5">
      <c r="A27" s="348"/>
      <c r="B27" s="353"/>
      <c r="C27" s="202" t="s">
        <v>137</v>
      </c>
      <c r="D27" s="208">
        <v>82</v>
      </c>
      <c r="E27" s="208">
        <v>83</v>
      </c>
      <c r="F27" s="208">
        <v>83</v>
      </c>
      <c r="G27" s="208">
        <v>83</v>
      </c>
      <c r="H27" s="204">
        <f t="shared" si="0"/>
        <v>101.21951219512195</v>
      </c>
      <c r="I27" s="208">
        <v>83</v>
      </c>
      <c r="J27" s="272">
        <f t="shared" si="1"/>
        <v>1</v>
      </c>
      <c r="K27" s="194"/>
    </row>
    <row r="28" spans="1:14" ht="16.5">
      <c r="A28" s="348"/>
      <c r="B28" s="353" t="s">
        <v>151</v>
      </c>
      <c r="C28" s="202" t="s">
        <v>135</v>
      </c>
      <c r="D28" s="208">
        <v>7700</v>
      </c>
      <c r="E28" s="208">
        <v>7650</v>
      </c>
      <c r="F28" s="208">
        <v>7300</v>
      </c>
      <c r="G28" s="208">
        <v>7300</v>
      </c>
      <c r="H28" s="204">
        <f t="shared" si="0"/>
        <v>94.8051948051948</v>
      </c>
      <c r="I28" s="208">
        <v>7200</v>
      </c>
      <c r="J28" s="272">
        <f t="shared" si="1"/>
        <v>0.9863013698630136</v>
      </c>
      <c r="K28" s="194"/>
      <c r="N28" s="209"/>
    </row>
    <row r="29" spans="1:11" ht="16.5">
      <c r="A29" s="348"/>
      <c r="B29" s="353"/>
      <c r="C29" s="202" t="s">
        <v>137</v>
      </c>
      <c r="D29" s="208">
        <v>46970</v>
      </c>
      <c r="E29" s="208">
        <v>45900</v>
      </c>
      <c r="F29" s="208">
        <f>F28*6</f>
        <v>43800</v>
      </c>
      <c r="G29" s="208">
        <f>G28*6</f>
        <v>43800</v>
      </c>
      <c r="H29" s="204">
        <f t="shared" si="0"/>
        <v>93.25101128379816</v>
      </c>
      <c r="I29" s="208">
        <f>I28*6</f>
        <v>43200</v>
      </c>
      <c r="J29" s="272">
        <f t="shared" si="1"/>
        <v>0.9863013698630136</v>
      </c>
      <c r="K29" s="194"/>
    </row>
    <row r="30" spans="1:11" ht="16.5">
      <c r="A30" s="348"/>
      <c r="B30" s="353" t="s">
        <v>152</v>
      </c>
      <c r="C30" s="202" t="s">
        <v>135</v>
      </c>
      <c r="D30" s="208">
        <v>6125</v>
      </c>
      <c r="E30" s="208">
        <v>6250</v>
      </c>
      <c r="F30" s="208"/>
      <c r="G30" s="208">
        <v>6350</v>
      </c>
      <c r="H30" s="204">
        <f t="shared" si="0"/>
        <v>103.6734693877551</v>
      </c>
      <c r="I30" s="208">
        <v>6150</v>
      </c>
      <c r="J30" s="272">
        <f t="shared" si="1"/>
        <v>0.968503937007874</v>
      </c>
      <c r="K30" s="194"/>
    </row>
    <row r="31" spans="1:11" ht="16.5">
      <c r="A31" s="348"/>
      <c r="B31" s="353"/>
      <c r="C31" s="202" t="s">
        <v>137</v>
      </c>
      <c r="D31" s="208">
        <v>35525</v>
      </c>
      <c r="E31" s="208">
        <v>37500</v>
      </c>
      <c r="F31" s="208"/>
      <c r="G31" s="208">
        <f>G30*6</f>
        <v>38100</v>
      </c>
      <c r="H31" s="204">
        <f t="shared" si="0"/>
        <v>107.24841660802251</v>
      </c>
      <c r="I31" s="208">
        <f>I30*6</f>
        <v>36900</v>
      </c>
      <c r="J31" s="272">
        <f t="shared" si="1"/>
        <v>0.968503937007874</v>
      </c>
      <c r="K31" s="194"/>
    </row>
    <row r="32" spans="1:11" ht="16.5">
      <c r="A32" s="350">
        <v>2</v>
      </c>
      <c r="B32" s="352" t="s">
        <v>153</v>
      </c>
      <c r="C32" s="191" t="s">
        <v>135</v>
      </c>
      <c r="D32" s="200">
        <f aca="true" t="shared" si="3" ref="D32:G33">D34+D36</f>
        <v>2596</v>
      </c>
      <c r="E32" s="200">
        <f t="shared" si="3"/>
        <v>2661</v>
      </c>
      <c r="F32" s="200">
        <f t="shared" si="3"/>
        <v>2501</v>
      </c>
      <c r="G32" s="200">
        <f t="shared" si="3"/>
        <v>2659</v>
      </c>
      <c r="H32" s="197">
        <f t="shared" si="0"/>
        <v>102.42681047765794</v>
      </c>
      <c r="I32" s="200">
        <f>I34+I36</f>
        <v>2418</v>
      </c>
      <c r="J32" s="271">
        <f t="shared" si="1"/>
        <v>0.9093644227153065</v>
      </c>
      <c r="K32" s="194"/>
    </row>
    <row r="33" spans="1:11" ht="16.5">
      <c r="A33" s="350"/>
      <c r="B33" s="352"/>
      <c r="C33" s="191" t="s">
        <v>137</v>
      </c>
      <c r="D33" s="200">
        <f t="shared" si="3"/>
        <v>52944</v>
      </c>
      <c r="E33" s="200">
        <f t="shared" si="3"/>
        <v>51717</v>
      </c>
      <c r="F33" s="200">
        <f t="shared" si="3"/>
        <v>49957</v>
      </c>
      <c r="G33" s="200">
        <f t="shared" si="3"/>
        <v>51695</v>
      </c>
      <c r="H33" s="197">
        <f t="shared" si="0"/>
        <v>97.64090359625264</v>
      </c>
      <c r="I33" s="200">
        <f>I35+I37</f>
        <v>47311</v>
      </c>
      <c r="J33" s="271">
        <f t="shared" si="1"/>
        <v>0.9151948931231261</v>
      </c>
      <c r="K33" s="194"/>
    </row>
    <row r="34" spans="1:11" ht="16.5">
      <c r="A34" s="348" t="s">
        <v>154</v>
      </c>
      <c r="B34" s="353" t="s">
        <v>155</v>
      </c>
      <c r="C34" s="202" t="s">
        <v>135</v>
      </c>
      <c r="D34" s="208">
        <v>2253</v>
      </c>
      <c r="E34" s="208">
        <v>2300</v>
      </c>
      <c r="F34" s="208">
        <v>2300</v>
      </c>
      <c r="G34" s="208">
        <v>2300</v>
      </c>
      <c r="H34" s="204">
        <f t="shared" si="0"/>
        <v>102.0861074123391</v>
      </c>
      <c r="I34" s="208">
        <v>2050</v>
      </c>
      <c r="J34" s="272">
        <f t="shared" si="1"/>
        <v>0.8913043478260869</v>
      </c>
      <c r="K34" s="194"/>
    </row>
    <row r="35" spans="1:11" ht="16.5">
      <c r="A35" s="348"/>
      <c r="B35" s="353"/>
      <c r="C35" s="202" t="s">
        <v>137</v>
      </c>
      <c r="D35" s="208">
        <v>48960</v>
      </c>
      <c r="E35" s="208">
        <v>47700</v>
      </c>
      <c r="F35" s="208">
        <v>47700</v>
      </c>
      <c r="G35" s="208">
        <v>47700</v>
      </c>
      <c r="H35" s="204">
        <f t="shared" si="0"/>
        <v>97.42647058823529</v>
      </c>
      <c r="I35" s="208">
        <f>I34*21</f>
        <v>43050</v>
      </c>
      <c r="J35" s="272">
        <f t="shared" si="1"/>
        <v>0.9025157232704403</v>
      </c>
      <c r="K35" s="194"/>
    </row>
    <row r="36" spans="1:11" ht="16.5">
      <c r="A36" s="348" t="s">
        <v>156</v>
      </c>
      <c r="B36" s="353" t="s">
        <v>157</v>
      </c>
      <c r="C36" s="202" t="s">
        <v>135</v>
      </c>
      <c r="D36" s="203">
        <f aca="true" t="shared" si="4" ref="D36:G37">D38+D40+D42</f>
        <v>343</v>
      </c>
      <c r="E36" s="203">
        <f t="shared" si="4"/>
        <v>361</v>
      </c>
      <c r="F36" s="203">
        <f t="shared" si="4"/>
        <v>201</v>
      </c>
      <c r="G36" s="203">
        <f t="shared" si="4"/>
        <v>359</v>
      </c>
      <c r="H36" s="204">
        <f t="shared" si="0"/>
        <v>104.66472303206997</v>
      </c>
      <c r="I36" s="206">
        <f>I38+I40+I42</f>
        <v>368</v>
      </c>
      <c r="J36" s="272">
        <f t="shared" si="1"/>
        <v>1.0250696378830084</v>
      </c>
      <c r="K36" s="194"/>
    </row>
    <row r="37" spans="1:11" ht="16.5">
      <c r="A37" s="348"/>
      <c r="B37" s="353"/>
      <c r="C37" s="202" t="s">
        <v>137</v>
      </c>
      <c r="D37" s="203">
        <f t="shared" si="4"/>
        <v>3984</v>
      </c>
      <c r="E37" s="203">
        <f t="shared" si="4"/>
        <v>4017</v>
      </c>
      <c r="F37" s="203">
        <f t="shared" si="4"/>
        <v>2257</v>
      </c>
      <c r="G37" s="203">
        <f t="shared" si="4"/>
        <v>3995</v>
      </c>
      <c r="H37" s="204">
        <f t="shared" si="0"/>
        <v>100.27610441767068</v>
      </c>
      <c r="I37" s="206">
        <f>I39+I41+I43</f>
        <v>4261</v>
      </c>
      <c r="J37" s="272">
        <f t="shared" si="1"/>
        <v>1.0665832290362953</v>
      </c>
      <c r="K37" s="194"/>
    </row>
    <row r="38" spans="1:11" ht="16.5">
      <c r="A38" s="348"/>
      <c r="B38" s="353" t="s">
        <v>158</v>
      </c>
      <c r="C38" s="202" t="s">
        <v>135</v>
      </c>
      <c r="D38" s="208">
        <v>46</v>
      </c>
      <c r="E38" s="208">
        <v>46</v>
      </c>
      <c r="F38" s="208">
        <v>46</v>
      </c>
      <c r="G38" s="208">
        <v>46</v>
      </c>
      <c r="H38" s="204">
        <f t="shared" si="0"/>
        <v>100</v>
      </c>
      <c r="I38" s="208">
        <v>48</v>
      </c>
      <c r="J38" s="272">
        <f t="shared" si="1"/>
        <v>1.0434782608695652</v>
      </c>
      <c r="K38" s="194"/>
    </row>
    <row r="39" spans="1:11" ht="16.5">
      <c r="A39" s="348"/>
      <c r="B39" s="353"/>
      <c r="C39" s="202" t="s">
        <v>137</v>
      </c>
      <c r="D39" s="208">
        <v>550</v>
      </c>
      <c r="E39" s="208">
        <v>552</v>
      </c>
      <c r="F39" s="208">
        <v>552</v>
      </c>
      <c r="G39" s="208">
        <v>552</v>
      </c>
      <c r="H39" s="204">
        <f t="shared" si="0"/>
        <v>100.36363636363636</v>
      </c>
      <c r="I39" s="208">
        <f>I38*12</f>
        <v>576</v>
      </c>
      <c r="J39" s="272">
        <f t="shared" si="1"/>
        <v>1.0434782608695652</v>
      </c>
      <c r="K39" s="194"/>
    </row>
    <row r="40" spans="1:11" ht="16.5">
      <c r="A40" s="348"/>
      <c r="B40" s="353" t="s">
        <v>159</v>
      </c>
      <c r="C40" s="202" t="s">
        <v>135</v>
      </c>
      <c r="D40" s="208">
        <v>152</v>
      </c>
      <c r="E40" s="208">
        <v>160</v>
      </c>
      <c r="F40" s="208">
        <v>155</v>
      </c>
      <c r="G40" s="208">
        <v>155</v>
      </c>
      <c r="H40" s="204">
        <f t="shared" si="0"/>
        <v>101.9736842105263</v>
      </c>
      <c r="I40" s="208">
        <v>165</v>
      </c>
      <c r="J40" s="272">
        <f t="shared" si="1"/>
        <v>1.064516129032258</v>
      </c>
      <c r="K40" s="194"/>
    </row>
    <row r="41" spans="1:11" ht="16.5">
      <c r="A41" s="348"/>
      <c r="B41" s="353"/>
      <c r="C41" s="202" t="s">
        <v>137</v>
      </c>
      <c r="D41" s="208">
        <v>1824</v>
      </c>
      <c r="E41" s="208">
        <v>1760</v>
      </c>
      <c r="F41" s="208">
        <f>F40*11</f>
        <v>1705</v>
      </c>
      <c r="G41" s="208">
        <f>G40*11</f>
        <v>1705</v>
      </c>
      <c r="H41" s="204">
        <f t="shared" si="0"/>
        <v>93.47587719298247</v>
      </c>
      <c r="I41" s="208">
        <f>I40*12</f>
        <v>1980</v>
      </c>
      <c r="J41" s="272">
        <f t="shared" si="1"/>
        <v>1.1612903225806452</v>
      </c>
      <c r="K41" s="194"/>
    </row>
    <row r="42" spans="1:11" ht="16.5">
      <c r="A42" s="348"/>
      <c r="B42" s="353" t="s">
        <v>160</v>
      </c>
      <c r="C42" s="202" t="s">
        <v>135</v>
      </c>
      <c r="D42" s="208">
        <v>145</v>
      </c>
      <c r="E42" s="208">
        <v>155</v>
      </c>
      <c r="F42" s="208"/>
      <c r="G42" s="208">
        <v>158</v>
      </c>
      <c r="H42" s="204">
        <f t="shared" si="0"/>
        <v>108.9655172413793</v>
      </c>
      <c r="I42" s="208">
        <v>155</v>
      </c>
      <c r="J42" s="272">
        <f t="shared" si="1"/>
        <v>0.9810126582278481</v>
      </c>
      <c r="K42" s="194"/>
    </row>
    <row r="43" spans="1:11" ht="16.5">
      <c r="A43" s="348"/>
      <c r="B43" s="353"/>
      <c r="C43" s="202" t="s">
        <v>137</v>
      </c>
      <c r="D43" s="208">
        <v>1610</v>
      </c>
      <c r="E43" s="208">
        <v>1705</v>
      </c>
      <c r="F43" s="208"/>
      <c r="G43" s="208">
        <f>G42*11</f>
        <v>1738</v>
      </c>
      <c r="H43" s="204">
        <f t="shared" si="0"/>
        <v>107.95031055900621</v>
      </c>
      <c r="I43" s="208">
        <f>I42*11</f>
        <v>1705</v>
      </c>
      <c r="J43" s="272">
        <f t="shared" si="1"/>
        <v>0.9810126582278481</v>
      </c>
      <c r="K43" s="194"/>
    </row>
    <row r="44" spans="1:11" ht="16.5">
      <c r="A44" s="350">
        <v>3</v>
      </c>
      <c r="B44" s="352" t="s">
        <v>161</v>
      </c>
      <c r="C44" s="191" t="s">
        <v>135</v>
      </c>
      <c r="D44" s="200">
        <f aca="true" t="shared" si="5" ref="D44:G45">D46+D52+D54</f>
        <v>3938</v>
      </c>
      <c r="E44" s="200">
        <f t="shared" si="5"/>
        <v>4040</v>
      </c>
      <c r="F44" s="200">
        <f t="shared" si="5"/>
        <v>5596</v>
      </c>
      <c r="G44" s="200">
        <f t="shared" si="5"/>
        <v>4005</v>
      </c>
      <c r="H44" s="197">
        <f t="shared" si="0"/>
        <v>101.70137125444387</v>
      </c>
      <c r="I44" s="200">
        <f>I46+I52+I54</f>
        <v>3880</v>
      </c>
      <c r="J44" s="271">
        <f t="shared" si="1"/>
        <v>0.968789013732834</v>
      </c>
      <c r="K44" s="194"/>
    </row>
    <row r="45" spans="1:11" ht="16.5">
      <c r="A45" s="350"/>
      <c r="B45" s="352"/>
      <c r="C45" s="191" t="s">
        <v>137</v>
      </c>
      <c r="D45" s="200">
        <f t="shared" si="5"/>
        <v>10102</v>
      </c>
      <c r="E45" s="200">
        <f t="shared" si="5"/>
        <v>11099</v>
      </c>
      <c r="F45" s="200">
        <f t="shared" si="5"/>
        <v>8498.3</v>
      </c>
      <c r="G45" s="200">
        <f t="shared" si="5"/>
        <v>11108.3</v>
      </c>
      <c r="H45" s="200">
        <f>H47+H53+H55</f>
        <v>321.65874336458046</v>
      </c>
      <c r="I45" s="200">
        <f>I47+I53+I55</f>
        <v>10897</v>
      </c>
      <c r="J45" s="271">
        <f t="shared" si="1"/>
        <v>0.9809781874814328</v>
      </c>
      <c r="K45" s="194"/>
    </row>
    <row r="46" spans="1:11" ht="16.5">
      <c r="A46" s="348" t="s">
        <v>162</v>
      </c>
      <c r="B46" s="353" t="s">
        <v>163</v>
      </c>
      <c r="C46" s="202" t="s">
        <v>135</v>
      </c>
      <c r="D46" s="203">
        <f>D48+D50</f>
        <v>1275</v>
      </c>
      <c r="E46" s="203">
        <f>E48+E50</f>
        <v>1340</v>
      </c>
      <c r="F46" s="203">
        <f>F48+F52</f>
        <v>3126</v>
      </c>
      <c r="G46" s="203">
        <f>G48+G50</f>
        <v>1350</v>
      </c>
      <c r="H46" s="204">
        <f t="shared" si="0"/>
        <v>105.88235294117648</v>
      </c>
      <c r="I46" s="203">
        <f>I48+I50</f>
        <v>1280</v>
      </c>
      <c r="J46" s="272">
        <f t="shared" si="1"/>
        <v>0.9481481481481482</v>
      </c>
      <c r="K46" s="194"/>
    </row>
    <row r="47" spans="1:11" ht="16.5">
      <c r="A47" s="348"/>
      <c r="B47" s="353"/>
      <c r="C47" s="202" t="s">
        <v>137</v>
      </c>
      <c r="D47" s="203">
        <f>D49+D51</f>
        <v>1529</v>
      </c>
      <c r="E47" s="203">
        <f>E49+E51</f>
        <v>1608</v>
      </c>
      <c r="F47" s="203">
        <f>F49+F51</f>
        <v>1230</v>
      </c>
      <c r="G47" s="203">
        <f>G49+G51</f>
        <v>1620</v>
      </c>
      <c r="H47" s="204">
        <f t="shared" si="0"/>
        <v>105.95160235448004</v>
      </c>
      <c r="I47" s="203">
        <f>I49+I51</f>
        <v>1536</v>
      </c>
      <c r="J47" s="272">
        <f t="shared" si="1"/>
        <v>0.9481481481481482</v>
      </c>
      <c r="K47" s="194"/>
    </row>
    <row r="48" spans="1:11" ht="16.5">
      <c r="A48" s="348"/>
      <c r="B48" s="353" t="s">
        <v>164</v>
      </c>
      <c r="C48" s="202" t="s">
        <v>135</v>
      </c>
      <c r="D48" s="208">
        <v>1030</v>
      </c>
      <c r="E48" s="208">
        <v>1020</v>
      </c>
      <c r="F48" s="208">
        <v>1025</v>
      </c>
      <c r="G48" s="208">
        <v>1025</v>
      </c>
      <c r="H48" s="204">
        <f t="shared" si="0"/>
        <v>99.51456310679612</v>
      </c>
      <c r="I48" s="208">
        <v>950</v>
      </c>
      <c r="J48" s="272">
        <f t="shared" si="1"/>
        <v>0.926829268292683</v>
      </c>
      <c r="K48" s="194"/>
    </row>
    <row r="49" spans="1:11" ht="16.5">
      <c r="A49" s="348"/>
      <c r="B49" s="353"/>
      <c r="C49" s="202" t="s">
        <v>137</v>
      </c>
      <c r="D49" s="208">
        <v>1248</v>
      </c>
      <c r="E49" s="208">
        <v>1224</v>
      </c>
      <c r="F49" s="208">
        <f>F48*1.2</f>
        <v>1230</v>
      </c>
      <c r="G49" s="208">
        <f>G48*1.2</f>
        <v>1230</v>
      </c>
      <c r="H49" s="204">
        <f t="shared" si="0"/>
        <v>98.5576923076923</v>
      </c>
      <c r="I49" s="208">
        <f>I48*1.2</f>
        <v>1140</v>
      </c>
      <c r="J49" s="272">
        <f t="shared" si="1"/>
        <v>0.926829268292683</v>
      </c>
      <c r="K49" s="194"/>
    </row>
    <row r="50" spans="1:11" ht="16.5">
      <c r="A50" s="348"/>
      <c r="B50" s="353" t="s">
        <v>165</v>
      </c>
      <c r="C50" s="202" t="s">
        <v>135</v>
      </c>
      <c r="D50" s="208">
        <v>245</v>
      </c>
      <c r="E50" s="208">
        <v>320</v>
      </c>
      <c r="F50" s="208"/>
      <c r="G50" s="208">
        <v>325</v>
      </c>
      <c r="H50" s="204">
        <f t="shared" si="0"/>
        <v>132.6530612244898</v>
      </c>
      <c r="I50" s="208">
        <v>330</v>
      </c>
      <c r="J50" s="272">
        <f t="shared" si="1"/>
        <v>1.0153846153846153</v>
      </c>
      <c r="K50" s="194"/>
    </row>
    <row r="51" spans="1:11" ht="16.5">
      <c r="A51" s="348"/>
      <c r="B51" s="353"/>
      <c r="C51" s="202" t="s">
        <v>137</v>
      </c>
      <c r="D51" s="208">
        <v>281</v>
      </c>
      <c r="E51" s="208">
        <v>384</v>
      </c>
      <c r="F51" s="208"/>
      <c r="G51" s="208">
        <f>G50*1.2</f>
        <v>390</v>
      </c>
      <c r="H51" s="204">
        <f t="shared" si="0"/>
        <v>138.7900355871886</v>
      </c>
      <c r="I51" s="208">
        <f>I50*1.2</f>
        <v>396</v>
      </c>
      <c r="J51" s="272">
        <f t="shared" si="1"/>
        <v>1.0153846153846153</v>
      </c>
      <c r="K51" s="194"/>
    </row>
    <row r="52" spans="1:11" ht="16.5">
      <c r="A52" s="348" t="s">
        <v>166</v>
      </c>
      <c r="B52" s="349" t="s">
        <v>167</v>
      </c>
      <c r="C52" s="202" t="s">
        <v>135</v>
      </c>
      <c r="D52" s="208">
        <v>2180</v>
      </c>
      <c r="E52" s="208">
        <v>2150</v>
      </c>
      <c r="F52" s="208">
        <v>2101</v>
      </c>
      <c r="G52" s="208">
        <v>2101</v>
      </c>
      <c r="H52" s="204">
        <f t="shared" si="0"/>
        <v>96.37614678899082</v>
      </c>
      <c r="I52" s="208">
        <v>2050</v>
      </c>
      <c r="J52" s="272">
        <f t="shared" si="1"/>
        <v>0.9757258448357925</v>
      </c>
      <c r="K52" s="194"/>
    </row>
    <row r="53" spans="1:11" ht="16.5">
      <c r="A53" s="348"/>
      <c r="B53" s="349"/>
      <c r="C53" s="202" t="s">
        <v>137</v>
      </c>
      <c r="D53" s="208">
        <v>2729</v>
      </c>
      <c r="E53" s="208">
        <v>2795</v>
      </c>
      <c r="F53" s="208">
        <f>F52*1.3</f>
        <v>2731.3</v>
      </c>
      <c r="G53" s="208">
        <f>G52*1.3</f>
        <v>2731.3</v>
      </c>
      <c r="H53" s="204">
        <f t="shared" si="0"/>
        <v>100.08427995602787</v>
      </c>
      <c r="I53" s="208">
        <f>I52*1.3</f>
        <v>2665</v>
      </c>
      <c r="J53" s="272">
        <f t="shared" si="1"/>
        <v>0.9757258448357924</v>
      </c>
      <c r="K53" s="194"/>
    </row>
    <row r="54" spans="1:11" ht="16.5">
      <c r="A54" s="348" t="s">
        <v>168</v>
      </c>
      <c r="B54" s="353" t="s">
        <v>169</v>
      </c>
      <c r="C54" s="202" t="s">
        <v>135</v>
      </c>
      <c r="D54" s="210">
        <v>483</v>
      </c>
      <c r="E54" s="210">
        <v>550</v>
      </c>
      <c r="F54" s="210">
        <f>F56+F58+F60</f>
        <v>369</v>
      </c>
      <c r="G54" s="210">
        <f>G56+G58+G60</f>
        <v>554</v>
      </c>
      <c r="H54" s="204">
        <f t="shared" si="0"/>
        <v>114.69979296066253</v>
      </c>
      <c r="I54" s="210">
        <v>550</v>
      </c>
      <c r="J54" s="272">
        <f t="shared" si="1"/>
        <v>0.9927797833935018</v>
      </c>
      <c r="K54" s="194"/>
    </row>
    <row r="55" spans="1:13" ht="16.5">
      <c r="A55" s="348"/>
      <c r="B55" s="353"/>
      <c r="C55" s="202" t="s">
        <v>137</v>
      </c>
      <c r="D55" s="210">
        <v>5844</v>
      </c>
      <c r="E55" s="210">
        <v>6696</v>
      </c>
      <c r="F55" s="210">
        <f>F57+F59+F61</f>
        <v>4537</v>
      </c>
      <c r="G55" s="210">
        <f>G57+G59+G61</f>
        <v>6757</v>
      </c>
      <c r="H55" s="204">
        <f>G55/D55*100</f>
        <v>115.62286105407256</v>
      </c>
      <c r="I55" s="210">
        <v>6696</v>
      </c>
      <c r="J55" s="272">
        <f>I55/G55</f>
        <v>0.9909723249963002</v>
      </c>
      <c r="K55" s="194"/>
      <c r="M55">
        <f>D55/D54</f>
        <v>12.099378881987578</v>
      </c>
    </row>
    <row r="56" spans="1:11" ht="16.5">
      <c r="A56" s="348"/>
      <c r="B56" s="353" t="s">
        <v>170</v>
      </c>
      <c r="C56" s="202" t="s">
        <v>135</v>
      </c>
      <c r="D56" s="208">
        <v>109</v>
      </c>
      <c r="E56" s="208">
        <v>110</v>
      </c>
      <c r="F56" s="208">
        <v>109</v>
      </c>
      <c r="G56" s="208">
        <v>109</v>
      </c>
      <c r="H56" s="204">
        <f t="shared" si="0"/>
        <v>100</v>
      </c>
      <c r="I56" s="208">
        <v>125</v>
      </c>
      <c r="J56" s="272">
        <f t="shared" si="1"/>
        <v>1.146788990825688</v>
      </c>
      <c r="K56" s="194"/>
    </row>
    <row r="57" spans="1:11" ht="16.5">
      <c r="A57" s="348"/>
      <c r="B57" s="353"/>
      <c r="C57" s="202" t="s">
        <v>137</v>
      </c>
      <c r="D57" s="208">
        <v>1237</v>
      </c>
      <c r="E57" s="208">
        <v>1416</v>
      </c>
      <c r="F57" s="208">
        <f>F56*13</f>
        <v>1417</v>
      </c>
      <c r="G57" s="208">
        <f>G56*13</f>
        <v>1417</v>
      </c>
      <c r="H57" s="204">
        <f t="shared" si="0"/>
        <v>114.55133387227163</v>
      </c>
      <c r="I57" s="208">
        <f>I56*12</f>
        <v>1500</v>
      </c>
      <c r="J57" s="272">
        <f t="shared" si="1"/>
        <v>1.058574453069866</v>
      </c>
      <c r="K57" s="194"/>
    </row>
    <row r="58" spans="1:11" ht="16.5">
      <c r="A58" s="348"/>
      <c r="B58" s="353" t="s">
        <v>171</v>
      </c>
      <c r="C58" s="202" t="s">
        <v>135</v>
      </c>
      <c r="D58" s="208">
        <v>215</v>
      </c>
      <c r="E58" s="208">
        <v>250</v>
      </c>
      <c r="F58" s="208">
        <v>260</v>
      </c>
      <c r="G58" s="208">
        <v>260</v>
      </c>
      <c r="H58" s="204">
        <f t="shared" si="0"/>
        <v>120.93023255813952</v>
      </c>
      <c r="I58" s="208">
        <v>350</v>
      </c>
      <c r="J58" s="272">
        <f t="shared" si="1"/>
        <v>1.3461538461538463</v>
      </c>
      <c r="K58" s="194"/>
    </row>
    <row r="59" spans="1:11" ht="16.5">
      <c r="A59" s="348"/>
      <c r="B59" s="353"/>
      <c r="C59" s="202" t="s">
        <v>137</v>
      </c>
      <c r="D59" s="208">
        <v>2702</v>
      </c>
      <c r="E59" s="208">
        <v>3000</v>
      </c>
      <c r="F59" s="208">
        <f>F58*12</f>
        <v>3120</v>
      </c>
      <c r="G59" s="208">
        <f>G58*12</f>
        <v>3120</v>
      </c>
      <c r="H59" s="204">
        <f t="shared" si="0"/>
        <v>115.47002220577349</v>
      </c>
      <c r="I59" s="208">
        <f>I58*12</f>
        <v>4200</v>
      </c>
      <c r="J59" s="272">
        <f t="shared" si="1"/>
        <v>1.3461538461538463</v>
      </c>
      <c r="K59" s="194"/>
    </row>
    <row r="60" spans="1:11" ht="16.5">
      <c r="A60" s="348"/>
      <c r="B60" s="353" t="s">
        <v>172</v>
      </c>
      <c r="C60" s="202" t="s">
        <v>135</v>
      </c>
      <c r="D60" s="208">
        <v>159</v>
      </c>
      <c r="E60" s="208">
        <v>190</v>
      </c>
      <c r="F60" s="208"/>
      <c r="G60" s="208">
        <v>185</v>
      </c>
      <c r="H60" s="204">
        <f t="shared" si="0"/>
        <v>116.35220125786164</v>
      </c>
      <c r="I60" s="208">
        <v>250</v>
      </c>
      <c r="J60" s="272">
        <f t="shared" si="1"/>
        <v>1.3513513513513513</v>
      </c>
      <c r="K60" s="194"/>
    </row>
    <row r="61" spans="1:11" ht="16.5">
      <c r="A61" s="348"/>
      <c r="B61" s="353"/>
      <c r="C61" s="202" t="s">
        <v>137</v>
      </c>
      <c r="D61" s="208">
        <v>1905</v>
      </c>
      <c r="E61" s="208">
        <v>2280</v>
      </c>
      <c r="F61" s="208"/>
      <c r="G61" s="208">
        <f>G60*12</f>
        <v>2220</v>
      </c>
      <c r="H61" s="204">
        <f t="shared" si="0"/>
        <v>116.53543307086613</v>
      </c>
      <c r="I61" s="208">
        <f>I60*12</f>
        <v>3000</v>
      </c>
      <c r="J61" s="272">
        <f t="shared" si="1"/>
        <v>1.3513513513513513</v>
      </c>
      <c r="K61" s="194"/>
    </row>
    <row r="62" spans="1:11" ht="16.5">
      <c r="A62" s="350">
        <v>4</v>
      </c>
      <c r="B62" s="352" t="s">
        <v>173</v>
      </c>
      <c r="C62" s="191" t="s">
        <v>135</v>
      </c>
      <c r="D62" s="200">
        <f>D64+D70+D76</f>
        <v>4470</v>
      </c>
      <c r="E62" s="200">
        <f>E64+E70+E76</f>
        <v>4430</v>
      </c>
      <c r="F62" s="200">
        <f>F64+F70+F76</f>
        <v>3990</v>
      </c>
      <c r="G62" s="200">
        <f>G64+G70+G76</f>
        <v>4470</v>
      </c>
      <c r="H62" s="197">
        <f t="shared" si="0"/>
        <v>100</v>
      </c>
      <c r="I62" s="200">
        <f>I64+I70+I76</f>
        <v>4430</v>
      </c>
      <c r="J62" s="271">
        <f t="shared" si="1"/>
        <v>0.9910514541387024</v>
      </c>
      <c r="K62" s="194"/>
    </row>
    <row r="63" spans="1:11" ht="16.5">
      <c r="A63" s="350"/>
      <c r="B63" s="352"/>
      <c r="C63" s="191" t="s">
        <v>137</v>
      </c>
      <c r="D63" s="200">
        <f>D65+D71</f>
        <v>7360</v>
      </c>
      <c r="E63" s="200">
        <f>E65+E71</f>
        <v>7849</v>
      </c>
      <c r="F63" s="200">
        <f>F65+F71</f>
        <v>7063</v>
      </c>
      <c r="G63" s="200">
        <f>G65+G71</f>
        <v>7629</v>
      </c>
      <c r="H63" s="197">
        <f t="shared" si="0"/>
        <v>103.65489130434781</v>
      </c>
      <c r="I63" s="200">
        <f>I65+I71</f>
        <v>7849</v>
      </c>
      <c r="J63" s="271">
        <f t="shared" si="1"/>
        <v>1.0288373312360728</v>
      </c>
      <c r="K63" s="194"/>
    </row>
    <row r="64" spans="1:14" ht="16.5">
      <c r="A64" s="348" t="s">
        <v>174</v>
      </c>
      <c r="B64" s="353" t="s">
        <v>175</v>
      </c>
      <c r="C64" s="202" t="s">
        <v>135</v>
      </c>
      <c r="D64" s="203">
        <f aca="true" t="shared" si="6" ref="D64:G65">D66+D68</f>
        <v>1330</v>
      </c>
      <c r="E64" s="203">
        <f t="shared" si="6"/>
        <v>1300</v>
      </c>
      <c r="F64" s="203">
        <f t="shared" si="6"/>
        <v>860</v>
      </c>
      <c r="G64" s="203">
        <f t="shared" si="6"/>
        <v>1310</v>
      </c>
      <c r="H64" s="204">
        <f t="shared" si="0"/>
        <v>98.49624060150376</v>
      </c>
      <c r="I64" s="203">
        <f>I66+I68</f>
        <v>1300</v>
      </c>
      <c r="J64" s="272">
        <f t="shared" si="1"/>
        <v>0.9923664122137404</v>
      </c>
      <c r="K64" s="194"/>
      <c r="N64">
        <f>810+2010+60</f>
        <v>2880</v>
      </c>
    </row>
    <row r="65" spans="1:14" ht="16.5">
      <c r="A65" s="348"/>
      <c r="B65" s="353"/>
      <c r="C65" s="202" t="s">
        <v>137</v>
      </c>
      <c r="D65" s="203">
        <f t="shared" si="6"/>
        <v>2019</v>
      </c>
      <c r="E65" s="203">
        <f t="shared" si="6"/>
        <v>2420</v>
      </c>
      <c r="F65" s="203">
        <f t="shared" si="6"/>
        <v>1634</v>
      </c>
      <c r="G65" s="203">
        <f t="shared" si="6"/>
        <v>2354</v>
      </c>
      <c r="H65" s="204">
        <f t="shared" si="0"/>
        <v>116.59237246161467</v>
      </c>
      <c r="I65" s="203">
        <f>I67+I69</f>
        <v>2420</v>
      </c>
      <c r="J65" s="272">
        <f t="shared" si="1"/>
        <v>1.02803738317757</v>
      </c>
      <c r="K65" s="194"/>
      <c r="N65">
        <f>4350-N64-410</f>
        <v>1060</v>
      </c>
    </row>
    <row r="66" spans="1:11" ht="16.5">
      <c r="A66" s="348"/>
      <c r="B66" s="353" t="s">
        <v>176</v>
      </c>
      <c r="C66" s="202" t="s">
        <v>135</v>
      </c>
      <c r="D66" s="208">
        <v>840</v>
      </c>
      <c r="E66" s="208">
        <v>850</v>
      </c>
      <c r="F66" s="208">
        <v>860</v>
      </c>
      <c r="G66" s="208">
        <v>860</v>
      </c>
      <c r="H66" s="204">
        <f t="shared" si="0"/>
        <v>102.38095238095238</v>
      </c>
      <c r="I66" s="208">
        <v>850</v>
      </c>
      <c r="J66" s="272">
        <f t="shared" si="1"/>
        <v>0.9883720930232558</v>
      </c>
      <c r="K66" s="194"/>
    </row>
    <row r="67" spans="1:11" ht="16.5">
      <c r="A67" s="348"/>
      <c r="B67" s="353"/>
      <c r="C67" s="202" t="s">
        <v>137</v>
      </c>
      <c r="D67" s="208">
        <v>1357</v>
      </c>
      <c r="E67" s="208">
        <v>1700</v>
      </c>
      <c r="F67" s="208">
        <f>F66*1.9</f>
        <v>1634</v>
      </c>
      <c r="G67" s="208">
        <f>G66*1.9</f>
        <v>1634</v>
      </c>
      <c r="H67" s="204">
        <f t="shared" si="0"/>
        <v>120.41267501842299</v>
      </c>
      <c r="I67" s="208">
        <v>1700</v>
      </c>
      <c r="J67" s="272">
        <f t="shared" si="1"/>
        <v>1.040391676866585</v>
      </c>
      <c r="K67" s="194"/>
    </row>
    <row r="68" spans="1:11" ht="16.5">
      <c r="A68" s="348"/>
      <c r="B68" s="353" t="s">
        <v>177</v>
      </c>
      <c r="C68" s="202" t="s">
        <v>135</v>
      </c>
      <c r="D68" s="208">
        <v>490</v>
      </c>
      <c r="E68" s="208">
        <v>450</v>
      </c>
      <c r="F68" s="208"/>
      <c r="G68" s="208">
        <v>450</v>
      </c>
      <c r="H68" s="204">
        <f t="shared" si="0"/>
        <v>91.83673469387756</v>
      </c>
      <c r="I68" s="208">
        <v>450</v>
      </c>
      <c r="J68" s="272">
        <f t="shared" si="1"/>
        <v>1</v>
      </c>
      <c r="K68" s="194"/>
    </row>
    <row r="69" spans="1:11" ht="16.5">
      <c r="A69" s="348"/>
      <c r="B69" s="353"/>
      <c r="C69" s="202" t="s">
        <v>137</v>
      </c>
      <c r="D69" s="208">
        <v>662</v>
      </c>
      <c r="E69" s="208">
        <v>720</v>
      </c>
      <c r="F69" s="208"/>
      <c r="G69" s="208">
        <v>720</v>
      </c>
      <c r="H69" s="204">
        <f t="shared" si="0"/>
        <v>108.76132930513596</v>
      </c>
      <c r="I69" s="208">
        <v>720</v>
      </c>
      <c r="J69" s="272">
        <f t="shared" si="1"/>
        <v>1</v>
      </c>
      <c r="K69" s="194"/>
    </row>
    <row r="70" spans="1:11" ht="16.5">
      <c r="A70" s="348" t="s">
        <v>178</v>
      </c>
      <c r="B70" s="353" t="s">
        <v>179</v>
      </c>
      <c r="C70" s="202" t="s">
        <v>135</v>
      </c>
      <c r="D70" s="203">
        <v>3080</v>
      </c>
      <c r="E70" s="203">
        <v>3070</v>
      </c>
      <c r="F70" s="203">
        <v>3070</v>
      </c>
      <c r="G70" s="203">
        <f>G72+G74</f>
        <v>3100</v>
      </c>
      <c r="H70" s="204">
        <f t="shared" si="0"/>
        <v>100.64935064935065</v>
      </c>
      <c r="I70" s="203">
        <v>3070</v>
      </c>
      <c r="J70" s="272">
        <f t="shared" si="1"/>
        <v>0.9903225806451613</v>
      </c>
      <c r="K70" s="194"/>
    </row>
    <row r="71" spans="1:11" ht="16.5">
      <c r="A71" s="348"/>
      <c r="B71" s="353"/>
      <c r="C71" s="202" t="s">
        <v>137</v>
      </c>
      <c r="D71" s="203">
        <v>5341</v>
      </c>
      <c r="E71" s="203">
        <v>5429</v>
      </c>
      <c r="F71" s="203">
        <v>5429</v>
      </c>
      <c r="G71" s="203">
        <f>G73+G75</f>
        <v>5275</v>
      </c>
      <c r="H71" s="204">
        <f t="shared" si="0"/>
        <v>98.76427635274293</v>
      </c>
      <c r="I71" s="203">
        <v>5429</v>
      </c>
      <c r="J71" s="272">
        <f t="shared" si="1"/>
        <v>1.0291943127962084</v>
      </c>
      <c r="K71" s="194"/>
    </row>
    <row r="72" spans="1:11" ht="16.5">
      <c r="A72" s="348"/>
      <c r="B72" s="353" t="s">
        <v>180</v>
      </c>
      <c r="C72" s="202" t="s">
        <v>135</v>
      </c>
      <c r="D72" s="208">
        <v>2030</v>
      </c>
      <c r="E72" s="208">
        <v>2020</v>
      </c>
      <c r="F72" s="208">
        <v>2050</v>
      </c>
      <c r="G72" s="208">
        <v>2050</v>
      </c>
      <c r="H72" s="204">
        <f t="shared" si="0"/>
        <v>100.98522167487684</v>
      </c>
      <c r="I72" s="208">
        <v>2080</v>
      </c>
      <c r="J72" s="272">
        <f t="shared" si="1"/>
        <v>1.0146341463414634</v>
      </c>
      <c r="K72" s="194"/>
    </row>
    <row r="73" spans="1:11" ht="16.5">
      <c r="A73" s="348"/>
      <c r="B73" s="353"/>
      <c r="C73" s="202" t="s">
        <v>137</v>
      </c>
      <c r="D73" s="208">
        <v>3410</v>
      </c>
      <c r="E73" s="208">
        <v>3434</v>
      </c>
      <c r="F73" s="208">
        <f>F72*1.6</f>
        <v>3280</v>
      </c>
      <c r="G73" s="208">
        <f>G72*1.6</f>
        <v>3280</v>
      </c>
      <c r="H73" s="204">
        <f t="shared" si="0"/>
        <v>96.18768328445748</v>
      </c>
      <c r="I73" s="208">
        <f>I72*1.6</f>
        <v>3328</v>
      </c>
      <c r="J73" s="272">
        <f t="shared" si="1"/>
        <v>1.0146341463414634</v>
      </c>
      <c r="K73" s="194"/>
    </row>
    <row r="74" spans="1:11" ht="16.5">
      <c r="A74" s="348"/>
      <c r="B74" s="353" t="s">
        <v>181</v>
      </c>
      <c r="C74" s="202" t="s">
        <v>135</v>
      </c>
      <c r="D74" s="208">
        <v>1050</v>
      </c>
      <c r="E74" s="208">
        <v>1050</v>
      </c>
      <c r="F74" s="208"/>
      <c r="G74" s="208">
        <v>1050</v>
      </c>
      <c r="H74" s="204">
        <f t="shared" si="0"/>
        <v>100</v>
      </c>
      <c r="I74" s="208">
        <v>985</v>
      </c>
      <c r="J74" s="272">
        <f t="shared" si="1"/>
        <v>0.9380952380952381</v>
      </c>
      <c r="K74" s="194"/>
    </row>
    <row r="75" spans="1:11" ht="16.5">
      <c r="A75" s="348"/>
      <c r="B75" s="353"/>
      <c r="C75" s="202" t="s">
        <v>137</v>
      </c>
      <c r="D75" s="208">
        <v>1913</v>
      </c>
      <c r="E75" s="208">
        <v>1995</v>
      </c>
      <c r="F75" s="208"/>
      <c r="G75" s="208">
        <v>1995</v>
      </c>
      <c r="H75" s="204">
        <f aca="true" t="shared" si="7" ref="H75:H137">G75/D75*100</f>
        <v>104.28646105593309</v>
      </c>
      <c r="I75" s="208">
        <f>I74*1.5</f>
        <v>1477.5</v>
      </c>
      <c r="J75" s="272">
        <f aca="true" t="shared" si="8" ref="J75:J137">I75/G75</f>
        <v>0.7406015037593985</v>
      </c>
      <c r="K75" s="194"/>
    </row>
    <row r="76" spans="1:11" ht="16.5">
      <c r="A76" s="348" t="s">
        <v>182</v>
      </c>
      <c r="B76" s="354" t="s">
        <v>183</v>
      </c>
      <c r="C76" s="211" t="s">
        <v>135</v>
      </c>
      <c r="D76" s="208">
        <v>60</v>
      </c>
      <c r="E76" s="208">
        <v>60</v>
      </c>
      <c r="F76" s="208">
        <v>60</v>
      </c>
      <c r="G76" s="208">
        <v>60</v>
      </c>
      <c r="H76" s="204">
        <f t="shared" si="7"/>
        <v>100</v>
      </c>
      <c r="I76" s="208">
        <v>60</v>
      </c>
      <c r="J76" s="272">
        <f t="shared" si="8"/>
        <v>1</v>
      </c>
      <c r="K76" s="194"/>
    </row>
    <row r="77" spans="1:11" ht="16.5">
      <c r="A77" s="348"/>
      <c r="B77" s="354"/>
      <c r="C77" s="211" t="s">
        <v>137</v>
      </c>
      <c r="D77" s="208">
        <v>3762</v>
      </c>
      <c r="E77" s="208">
        <v>3600</v>
      </c>
      <c r="F77" s="208">
        <v>3600</v>
      </c>
      <c r="G77" s="208">
        <v>3600</v>
      </c>
      <c r="H77" s="204">
        <f t="shared" si="7"/>
        <v>95.69377990430623</v>
      </c>
      <c r="I77" s="208">
        <v>3600</v>
      </c>
      <c r="J77" s="272">
        <f t="shared" si="8"/>
        <v>1</v>
      </c>
      <c r="K77" s="194"/>
    </row>
    <row r="78" spans="1:11" ht="16.5">
      <c r="A78" s="350">
        <v>5</v>
      </c>
      <c r="B78" s="351" t="s">
        <v>184</v>
      </c>
      <c r="C78" s="191" t="s">
        <v>135</v>
      </c>
      <c r="D78" s="213">
        <v>184</v>
      </c>
      <c r="E78" s="213">
        <v>190</v>
      </c>
      <c r="F78" s="213">
        <v>190</v>
      </c>
      <c r="G78" s="213">
        <v>190</v>
      </c>
      <c r="H78" s="197">
        <f t="shared" si="7"/>
        <v>103.26086956521738</v>
      </c>
      <c r="I78" s="213">
        <v>250</v>
      </c>
      <c r="J78" s="271">
        <f t="shared" si="8"/>
        <v>1.3157894736842106</v>
      </c>
      <c r="K78" s="194"/>
    </row>
    <row r="79" spans="1:11" ht="16.5">
      <c r="A79" s="350"/>
      <c r="B79" s="351"/>
      <c r="C79" s="191" t="s">
        <v>137</v>
      </c>
      <c r="D79" s="213">
        <v>1748</v>
      </c>
      <c r="E79" s="213">
        <v>1900</v>
      </c>
      <c r="F79" s="213">
        <v>1900</v>
      </c>
      <c r="G79" s="213">
        <v>1900</v>
      </c>
      <c r="H79" s="197">
        <f t="shared" si="7"/>
        <v>108.69565217391303</v>
      </c>
      <c r="I79" s="213">
        <f>I78*10</f>
        <v>2500</v>
      </c>
      <c r="J79" s="271">
        <f t="shared" si="8"/>
        <v>1.3157894736842106</v>
      </c>
      <c r="K79" s="194"/>
    </row>
    <row r="80" spans="1:11" ht="16.5">
      <c r="A80" s="190" t="s">
        <v>66</v>
      </c>
      <c r="B80" s="196" t="s">
        <v>185</v>
      </c>
      <c r="C80" s="191" t="s">
        <v>135</v>
      </c>
      <c r="D80" s="200">
        <f>D81+D102+D126+D128+D129</f>
        <v>27306</v>
      </c>
      <c r="E80" s="200">
        <f>SUM(E81+E102+E126+E128++E129)</f>
        <v>27326</v>
      </c>
      <c r="F80" s="200">
        <f>F81+F102+F126+F128+F129</f>
        <v>27356</v>
      </c>
      <c r="G80" s="200">
        <f>G81+G102+G126+G128+G129</f>
        <v>27356</v>
      </c>
      <c r="H80" s="197">
        <f t="shared" si="7"/>
        <v>100.1831099392075</v>
      </c>
      <c r="I80" s="200">
        <f>SUM(I81+I102+I126+I128++I129)</f>
        <v>27570</v>
      </c>
      <c r="J80" s="271">
        <f t="shared" si="8"/>
        <v>1.007822781108349</v>
      </c>
      <c r="K80" s="194"/>
    </row>
    <row r="81" spans="1:15" ht="16.5">
      <c r="A81" s="190">
        <v>1</v>
      </c>
      <c r="B81" s="196" t="s">
        <v>186</v>
      </c>
      <c r="C81" s="191" t="s">
        <v>135</v>
      </c>
      <c r="D81" s="200">
        <f>D82+D86+D88+D90+D94+D98+D100</f>
        <v>25871</v>
      </c>
      <c r="E81" s="200">
        <f>SUM(E82+E86+E88+E90+E94+E98+E100)</f>
        <v>25862</v>
      </c>
      <c r="F81" s="200">
        <f>SUM(F82+F86+F88+F90+F94+F98+F100)</f>
        <v>25862</v>
      </c>
      <c r="G81" s="200">
        <f>SUM(G82+G86+G88+G90+G94+G98+G100)</f>
        <v>25862</v>
      </c>
      <c r="H81" s="197">
        <f t="shared" si="7"/>
        <v>99.96521201345135</v>
      </c>
      <c r="I81" s="200">
        <f>SUM(I82+I86+I88+I90+I94+I98+I100)</f>
        <v>25837</v>
      </c>
      <c r="J81" s="271">
        <f t="shared" si="8"/>
        <v>0.9990333307555487</v>
      </c>
      <c r="K81" s="194"/>
      <c r="O81">
        <f>48360/G83</f>
        <v>2.5122077922077923</v>
      </c>
    </row>
    <row r="82" spans="1:11" ht="16.5">
      <c r="A82" s="348" t="s">
        <v>142</v>
      </c>
      <c r="B82" s="353" t="s">
        <v>187</v>
      </c>
      <c r="C82" s="202" t="s">
        <v>135</v>
      </c>
      <c r="D82" s="208">
        <v>21182</v>
      </c>
      <c r="E82" s="208">
        <v>21182</v>
      </c>
      <c r="F82" s="208">
        <v>21182</v>
      </c>
      <c r="G82" s="208">
        <v>21182</v>
      </c>
      <c r="H82" s="204">
        <f t="shared" si="7"/>
        <v>100</v>
      </c>
      <c r="I82" s="208">
        <v>21182</v>
      </c>
      <c r="J82" s="272">
        <f t="shared" si="8"/>
        <v>1</v>
      </c>
      <c r="K82" s="194"/>
    </row>
    <row r="83" spans="1:11" ht="16.5">
      <c r="A83" s="348"/>
      <c r="B83" s="353"/>
      <c r="C83" s="202" t="s">
        <v>188</v>
      </c>
      <c r="D83" s="208">
        <v>19450</v>
      </c>
      <c r="E83" s="208">
        <v>19450</v>
      </c>
      <c r="F83" s="208">
        <v>19250</v>
      </c>
      <c r="G83" s="208">
        <v>19250</v>
      </c>
      <c r="H83" s="204">
        <f t="shared" si="7"/>
        <v>98.97172236503856</v>
      </c>
      <c r="I83" s="208">
        <v>19150</v>
      </c>
      <c r="J83" s="272">
        <f t="shared" si="8"/>
        <v>0.9948051948051948</v>
      </c>
      <c r="K83" s="194"/>
    </row>
    <row r="84" spans="1:11" ht="16.5">
      <c r="A84" s="348"/>
      <c r="B84" s="353"/>
      <c r="C84" s="202" t="s">
        <v>189</v>
      </c>
      <c r="D84" s="208">
        <f>D82-D83</f>
        <v>1732</v>
      </c>
      <c r="E84" s="208">
        <v>720</v>
      </c>
      <c r="F84" s="208">
        <f>F82-F83</f>
        <v>1932</v>
      </c>
      <c r="G84" s="208">
        <f>G82-G83</f>
        <v>1932</v>
      </c>
      <c r="H84" s="204">
        <f t="shared" si="7"/>
        <v>111.5473441108545</v>
      </c>
      <c r="I84" s="208">
        <f>I82-I83</f>
        <v>2032</v>
      </c>
      <c r="J84" s="272">
        <f t="shared" si="8"/>
        <v>1.05175983436853</v>
      </c>
      <c r="K84" s="194"/>
    </row>
    <row r="85" spans="1:11" ht="16.5">
      <c r="A85" s="348"/>
      <c r="B85" s="353"/>
      <c r="C85" s="202" t="s">
        <v>137</v>
      </c>
      <c r="D85" s="208">
        <v>44735</v>
      </c>
      <c r="E85" s="208">
        <v>48625</v>
      </c>
      <c r="F85" s="208">
        <f>F83*2.55</f>
        <v>49087.5</v>
      </c>
      <c r="G85" s="208">
        <f>G83*2.55</f>
        <v>49087.5</v>
      </c>
      <c r="H85" s="204">
        <f t="shared" si="7"/>
        <v>109.72951827428187</v>
      </c>
      <c r="I85" s="208">
        <f>I83*2.6</f>
        <v>49790</v>
      </c>
      <c r="J85" s="272">
        <f t="shared" si="8"/>
        <v>1.0143111790170614</v>
      </c>
      <c r="K85" s="194"/>
    </row>
    <row r="86" spans="1:11" ht="16.5">
      <c r="A86" s="348" t="s">
        <v>146</v>
      </c>
      <c r="B86" s="353" t="s">
        <v>190</v>
      </c>
      <c r="C86" s="202" t="s">
        <v>135</v>
      </c>
      <c r="D86" s="208">
        <v>2300</v>
      </c>
      <c r="E86" s="208">
        <v>2300</v>
      </c>
      <c r="F86" s="208">
        <v>2300</v>
      </c>
      <c r="G86" s="208">
        <v>2300</v>
      </c>
      <c r="H86" s="204">
        <f t="shared" si="7"/>
        <v>100</v>
      </c>
      <c r="I86" s="208">
        <v>2300</v>
      </c>
      <c r="J86" s="272">
        <f t="shared" si="8"/>
        <v>1</v>
      </c>
      <c r="K86" s="194"/>
    </row>
    <row r="87" spans="1:11" ht="16.5">
      <c r="A87" s="348"/>
      <c r="B87" s="353"/>
      <c r="C87" s="202" t="s">
        <v>137</v>
      </c>
      <c r="D87" s="208">
        <v>3680</v>
      </c>
      <c r="E87" s="208">
        <v>3680</v>
      </c>
      <c r="F87" s="208">
        <v>3680</v>
      </c>
      <c r="G87" s="208">
        <v>3680</v>
      </c>
      <c r="H87" s="204">
        <f t="shared" si="7"/>
        <v>100</v>
      </c>
      <c r="I87" s="208">
        <v>3680</v>
      </c>
      <c r="J87" s="272">
        <f t="shared" si="8"/>
        <v>1</v>
      </c>
      <c r="K87" s="194"/>
    </row>
    <row r="88" spans="1:11" ht="16.5">
      <c r="A88" s="348" t="s">
        <v>148</v>
      </c>
      <c r="B88" s="353" t="s">
        <v>191</v>
      </c>
      <c r="C88" s="202" t="s">
        <v>135</v>
      </c>
      <c r="D88" s="208">
        <v>369</v>
      </c>
      <c r="E88" s="208">
        <v>360</v>
      </c>
      <c r="F88" s="208">
        <v>360</v>
      </c>
      <c r="G88" s="208">
        <v>360</v>
      </c>
      <c r="H88" s="204">
        <f t="shared" si="7"/>
        <v>97.5609756097561</v>
      </c>
      <c r="I88" s="208">
        <v>360</v>
      </c>
      <c r="J88" s="272">
        <f t="shared" si="8"/>
        <v>1</v>
      </c>
      <c r="K88" s="194"/>
    </row>
    <row r="89" spans="1:11" ht="16.5">
      <c r="A89" s="348"/>
      <c r="B89" s="353"/>
      <c r="C89" s="202" t="s">
        <v>137</v>
      </c>
      <c r="D89" s="208">
        <v>441</v>
      </c>
      <c r="E89" s="208">
        <v>475</v>
      </c>
      <c r="F89" s="208">
        <v>475</v>
      </c>
      <c r="G89" s="208">
        <v>475</v>
      </c>
      <c r="H89" s="204">
        <f t="shared" si="7"/>
        <v>107.70975056689342</v>
      </c>
      <c r="I89" s="208">
        <v>475</v>
      </c>
      <c r="J89" s="272">
        <f t="shared" si="8"/>
        <v>1</v>
      </c>
      <c r="K89" s="194"/>
    </row>
    <row r="90" spans="1:11" ht="16.5">
      <c r="A90" s="348" t="s">
        <v>192</v>
      </c>
      <c r="B90" s="353" t="s">
        <v>193</v>
      </c>
      <c r="C90" s="202" t="s">
        <v>135</v>
      </c>
      <c r="D90" s="208">
        <v>1795</v>
      </c>
      <c r="E90" s="208">
        <v>1795</v>
      </c>
      <c r="F90" s="208">
        <v>1795</v>
      </c>
      <c r="G90" s="208">
        <v>1795</v>
      </c>
      <c r="H90" s="204">
        <f t="shared" si="7"/>
        <v>100</v>
      </c>
      <c r="I90" s="208">
        <v>1770</v>
      </c>
      <c r="J90" s="272">
        <f t="shared" si="8"/>
        <v>0.9860724233983287</v>
      </c>
      <c r="K90" s="194"/>
    </row>
    <row r="91" spans="1:11" ht="16.5">
      <c r="A91" s="348"/>
      <c r="B91" s="353"/>
      <c r="C91" s="202" t="s">
        <v>194</v>
      </c>
      <c r="D91" s="208">
        <v>1452</v>
      </c>
      <c r="E91" s="208">
        <v>1550</v>
      </c>
      <c r="F91" s="208">
        <v>1550</v>
      </c>
      <c r="G91" s="208">
        <v>1550</v>
      </c>
      <c r="H91" s="204">
        <f t="shared" si="7"/>
        <v>106.74931129476583</v>
      </c>
      <c r="I91" s="208">
        <v>1525</v>
      </c>
      <c r="J91" s="272">
        <f t="shared" si="8"/>
        <v>0.9838709677419355</v>
      </c>
      <c r="K91" s="194"/>
    </row>
    <row r="92" spans="1:14" ht="16.5">
      <c r="A92" s="348"/>
      <c r="B92" s="353"/>
      <c r="C92" s="202" t="s">
        <v>195</v>
      </c>
      <c r="D92" s="208">
        <f>D90-D91</f>
        <v>343</v>
      </c>
      <c r="E92" s="208">
        <v>245</v>
      </c>
      <c r="F92" s="208">
        <v>245</v>
      </c>
      <c r="G92" s="208">
        <v>245</v>
      </c>
      <c r="H92" s="204">
        <f t="shared" si="7"/>
        <v>71.42857142857143</v>
      </c>
      <c r="I92" s="208">
        <v>245</v>
      </c>
      <c r="J92" s="272">
        <f t="shared" si="8"/>
        <v>1</v>
      </c>
      <c r="K92" s="194"/>
      <c r="N92">
        <f>3201/2.2</f>
        <v>1454.9999999999998</v>
      </c>
    </row>
    <row r="93" spans="1:11" ht="16.5">
      <c r="A93" s="348"/>
      <c r="B93" s="353"/>
      <c r="C93" s="202" t="s">
        <v>137</v>
      </c>
      <c r="D93" s="208">
        <v>3049</v>
      </c>
      <c r="E93" s="208">
        <v>3100</v>
      </c>
      <c r="F93" s="208">
        <f>F91*2.1</f>
        <v>3255</v>
      </c>
      <c r="G93" s="208">
        <f>G91*2.1</f>
        <v>3255</v>
      </c>
      <c r="H93" s="204">
        <f t="shared" si="7"/>
        <v>106.75631354542472</v>
      </c>
      <c r="I93" s="208">
        <f>I91*2.1</f>
        <v>3202.5</v>
      </c>
      <c r="J93" s="272">
        <f t="shared" si="8"/>
        <v>0.9838709677419355</v>
      </c>
      <c r="K93" s="194"/>
    </row>
    <row r="94" spans="1:15" ht="16.5">
      <c r="A94" s="348" t="s">
        <v>196</v>
      </c>
      <c r="B94" s="353" t="s">
        <v>197</v>
      </c>
      <c r="C94" s="202" t="s">
        <v>135</v>
      </c>
      <c r="D94" s="208">
        <v>210</v>
      </c>
      <c r="E94" s="208">
        <v>210</v>
      </c>
      <c r="F94" s="208">
        <v>210</v>
      </c>
      <c r="G94" s="208">
        <v>210</v>
      </c>
      <c r="H94" s="204">
        <f t="shared" si="7"/>
        <v>100</v>
      </c>
      <c r="I94" s="208">
        <v>210</v>
      </c>
      <c r="J94" s="272">
        <f t="shared" si="8"/>
        <v>1</v>
      </c>
      <c r="K94" s="194"/>
      <c r="O94" s="209">
        <f>F94+F98+F100+F126+F128+F129</f>
        <v>385</v>
      </c>
    </row>
    <row r="95" spans="1:11" ht="16.5">
      <c r="A95" s="348"/>
      <c r="B95" s="353"/>
      <c r="C95" s="202" t="s">
        <v>194</v>
      </c>
      <c r="D95" s="208">
        <v>210</v>
      </c>
      <c r="E95" s="208">
        <v>210</v>
      </c>
      <c r="F95" s="208">
        <v>210</v>
      </c>
      <c r="G95" s="208">
        <v>210</v>
      </c>
      <c r="H95" s="204">
        <f t="shared" si="7"/>
        <v>100</v>
      </c>
      <c r="I95" s="208">
        <v>210</v>
      </c>
      <c r="J95" s="272">
        <f t="shared" si="8"/>
        <v>1</v>
      </c>
      <c r="K95" s="194"/>
    </row>
    <row r="96" spans="1:11" ht="16.5">
      <c r="A96" s="348"/>
      <c r="B96" s="353"/>
      <c r="C96" s="202" t="s">
        <v>195</v>
      </c>
      <c r="D96" s="208">
        <v>0</v>
      </c>
      <c r="E96" s="208">
        <v>0</v>
      </c>
      <c r="F96" s="208">
        <v>0</v>
      </c>
      <c r="G96" s="208">
        <v>0</v>
      </c>
      <c r="H96" s="204"/>
      <c r="I96" s="208">
        <v>0</v>
      </c>
      <c r="J96" s="272"/>
      <c r="K96" s="194"/>
    </row>
    <row r="97" spans="1:11" ht="16.5">
      <c r="A97" s="348"/>
      <c r="B97" s="353"/>
      <c r="C97" s="202" t="s">
        <v>137</v>
      </c>
      <c r="D97" s="208">
        <v>382</v>
      </c>
      <c r="E97" s="208">
        <v>420</v>
      </c>
      <c r="F97" s="208">
        <v>420</v>
      </c>
      <c r="G97" s="208">
        <v>420</v>
      </c>
      <c r="H97" s="204">
        <f t="shared" si="7"/>
        <v>109.94764397905759</v>
      </c>
      <c r="I97" s="208">
        <v>420</v>
      </c>
      <c r="J97" s="272">
        <f t="shared" si="8"/>
        <v>1</v>
      </c>
      <c r="K97" s="194"/>
    </row>
    <row r="98" spans="1:11" ht="16.5">
      <c r="A98" s="348" t="s">
        <v>198</v>
      </c>
      <c r="B98" s="349" t="s">
        <v>199</v>
      </c>
      <c r="C98" s="202" t="s">
        <v>135</v>
      </c>
      <c r="D98" s="208">
        <v>7</v>
      </c>
      <c r="E98" s="208">
        <v>7</v>
      </c>
      <c r="F98" s="208">
        <v>7</v>
      </c>
      <c r="G98" s="208">
        <v>7</v>
      </c>
      <c r="H98" s="204">
        <f t="shared" si="7"/>
        <v>100</v>
      </c>
      <c r="I98" s="208">
        <v>7</v>
      </c>
      <c r="J98" s="272">
        <f t="shared" si="8"/>
        <v>1</v>
      </c>
      <c r="K98" s="194"/>
    </row>
    <row r="99" spans="1:11" ht="16.5">
      <c r="A99" s="348"/>
      <c r="B99" s="349"/>
      <c r="C99" s="202" t="s">
        <v>137</v>
      </c>
      <c r="D99" s="208">
        <v>77</v>
      </c>
      <c r="E99" s="208">
        <v>77</v>
      </c>
      <c r="F99" s="208">
        <v>77</v>
      </c>
      <c r="G99" s="208">
        <v>77</v>
      </c>
      <c r="H99" s="204">
        <f t="shared" si="7"/>
        <v>100</v>
      </c>
      <c r="I99" s="208">
        <v>77</v>
      </c>
      <c r="J99" s="272">
        <f t="shared" si="8"/>
        <v>1</v>
      </c>
      <c r="K99" s="194"/>
    </row>
    <row r="100" spans="1:11" ht="16.5">
      <c r="A100" s="348" t="s">
        <v>200</v>
      </c>
      <c r="B100" s="349" t="s">
        <v>201</v>
      </c>
      <c r="C100" s="202" t="s">
        <v>135</v>
      </c>
      <c r="D100" s="208">
        <v>8</v>
      </c>
      <c r="E100" s="208">
        <v>8</v>
      </c>
      <c r="F100" s="208">
        <v>8</v>
      </c>
      <c r="G100" s="208">
        <v>8</v>
      </c>
      <c r="H100" s="204">
        <f t="shared" si="7"/>
        <v>100</v>
      </c>
      <c r="I100" s="208">
        <v>8</v>
      </c>
      <c r="J100" s="272">
        <f t="shared" si="8"/>
        <v>1</v>
      </c>
      <c r="K100" s="194"/>
    </row>
    <row r="101" spans="1:11" ht="16.5">
      <c r="A101" s="348"/>
      <c r="B101" s="349"/>
      <c r="C101" s="202" t="s">
        <v>137</v>
      </c>
      <c r="D101" s="214">
        <v>7</v>
      </c>
      <c r="E101" s="214">
        <v>7</v>
      </c>
      <c r="F101" s="214">
        <v>7</v>
      </c>
      <c r="G101" s="214">
        <v>7</v>
      </c>
      <c r="H101" s="204">
        <f t="shared" si="7"/>
        <v>100</v>
      </c>
      <c r="I101" s="214">
        <v>7</v>
      </c>
      <c r="J101" s="272">
        <f t="shared" si="8"/>
        <v>1</v>
      </c>
      <c r="K101" s="194"/>
    </row>
    <row r="102" spans="1:15" ht="16.5">
      <c r="A102" s="350">
        <v>2</v>
      </c>
      <c r="B102" s="352" t="s">
        <v>202</v>
      </c>
      <c r="C102" s="191" t="s">
        <v>135</v>
      </c>
      <c r="D102" s="215">
        <f aca="true" t="shared" si="9" ref="D102:F103">D104+D106+D108+D110+D112+D114+D116+D118+D120+D122+D124</f>
        <v>1241</v>
      </c>
      <c r="E102" s="215">
        <f t="shared" si="9"/>
        <v>1304</v>
      </c>
      <c r="F102" s="215">
        <f t="shared" si="9"/>
        <v>1334</v>
      </c>
      <c r="G102" s="215">
        <f>G104+G106+G108+G110+G112+G114+G116+G118+G120+G122+G124</f>
        <v>1334</v>
      </c>
      <c r="H102" s="197">
        <f t="shared" si="7"/>
        <v>107.49395648670428</v>
      </c>
      <c r="I102" s="215">
        <f>I104+I106+I108+I110+I112+I114+I116+I118+I120+I122+I124</f>
        <v>1604</v>
      </c>
      <c r="J102" s="271">
        <f t="shared" si="8"/>
        <v>1.2023988005997002</v>
      </c>
      <c r="K102" s="194"/>
      <c r="N102" s="209">
        <f>F103-5273</f>
        <v>9083</v>
      </c>
      <c r="O102" s="209"/>
    </row>
    <row r="103" spans="1:11" ht="16.5">
      <c r="A103" s="350"/>
      <c r="B103" s="352"/>
      <c r="C103" s="191" t="s">
        <v>137</v>
      </c>
      <c r="D103" s="215">
        <f t="shared" si="9"/>
        <v>10680</v>
      </c>
      <c r="E103" s="215">
        <f t="shared" si="9"/>
        <v>14026</v>
      </c>
      <c r="F103" s="215">
        <f t="shared" si="9"/>
        <v>14356</v>
      </c>
      <c r="G103" s="215">
        <f>G105+G107+G109+G111+G113+G115+G117+G119+G121+G123+G125</f>
        <v>14356</v>
      </c>
      <c r="H103" s="197">
        <f t="shared" si="7"/>
        <v>134.41947565543072</v>
      </c>
      <c r="I103" s="215">
        <f>I105+I107+I109+I111+I113+I115+I117+I119+I121+I123+I125</f>
        <v>17480</v>
      </c>
      <c r="J103" s="271">
        <f t="shared" si="8"/>
        <v>1.217609361939259</v>
      </c>
      <c r="K103" s="194"/>
    </row>
    <row r="104" spans="1:11" ht="16.5">
      <c r="A104" s="348" t="s">
        <v>154</v>
      </c>
      <c r="B104" s="349" t="s">
        <v>203</v>
      </c>
      <c r="C104" s="202" t="s">
        <v>135</v>
      </c>
      <c r="D104" s="208">
        <v>8</v>
      </c>
      <c r="E104" s="208">
        <v>8</v>
      </c>
      <c r="F104" s="208">
        <v>8</v>
      </c>
      <c r="G104" s="208">
        <v>8</v>
      </c>
      <c r="H104" s="204">
        <f t="shared" si="7"/>
        <v>100</v>
      </c>
      <c r="I104" s="208">
        <v>12</v>
      </c>
      <c r="J104" s="272">
        <f t="shared" si="8"/>
        <v>1.5</v>
      </c>
      <c r="K104" s="194"/>
    </row>
    <row r="105" spans="1:11" ht="16.5">
      <c r="A105" s="348"/>
      <c r="B105" s="349"/>
      <c r="C105" s="202" t="s">
        <v>137</v>
      </c>
      <c r="D105" s="208">
        <v>59</v>
      </c>
      <c r="E105" s="208">
        <v>59</v>
      </c>
      <c r="F105" s="208">
        <v>59</v>
      </c>
      <c r="G105" s="208">
        <v>59</v>
      </c>
      <c r="H105" s="204">
        <f t="shared" si="7"/>
        <v>100</v>
      </c>
      <c r="I105" s="208">
        <v>84</v>
      </c>
      <c r="J105" s="272">
        <f t="shared" si="8"/>
        <v>1.423728813559322</v>
      </c>
      <c r="K105" s="194"/>
    </row>
    <row r="106" spans="1:11" ht="16.5">
      <c r="A106" s="348" t="s">
        <v>156</v>
      </c>
      <c r="B106" s="349" t="s">
        <v>204</v>
      </c>
      <c r="C106" s="202" t="s">
        <v>135</v>
      </c>
      <c r="D106" s="208">
        <v>10</v>
      </c>
      <c r="E106" s="208">
        <v>10</v>
      </c>
      <c r="F106" s="208">
        <v>10</v>
      </c>
      <c r="G106" s="208">
        <v>10</v>
      </c>
      <c r="H106" s="204">
        <f t="shared" si="7"/>
        <v>100</v>
      </c>
      <c r="I106" s="208">
        <v>10</v>
      </c>
      <c r="J106" s="272">
        <f t="shared" si="8"/>
        <v>1</v>
      </c>
      <c r="K106" s="194"/>
    </row>
    <row r="107" spans="1:11" ht="16.5">
      <c r="A107" s="348"/>
      <c r="B107" s="349"/>
      <c r="C107" s="202" t="s">
        <v>137</v>
      </c>
      <c r="D107" s="208">
        <v>15</v>
      </c>
      <c r="E107" s="208">
        <v>15</v>
      </c>
      <c r="F107" s="208">
        <v>15</v>
      </c>
      <c r="G107" s="208">
        <v>15</v>
      </c>
      <c r="H107" s="204">
        <f t="shared" si="7"/>
        <v>100</v>
      </c>
      <c r="I107" s="208">
        <v>15</v>
      </c>
      <c r="J107" s="272">
        <f t="shared" si="8"/>
        <v>1</v>
      </c>
      <c r="K107" s="194"/>
    </row>
    <row r="108" spans="1:11" ht="16.5">
      <c r="A108" s="348" t="s">
        <v>205</v>
      </c>
      <c r="B108" s="349" t="s">
        <v>206</v>
      </c>
      <c r="C108" s="202" t="s">
        <v>135</v>
      </c>
      <c r="D108" s="208">
        <v>29</v>
      </c>
      <c r="E108" s="208">
        <v>29</v>
      </c>
      <c r="F108" s="208">
        <v>29</v>
      </c>
      <c r="G108" s="208">
        <v>29</v>
      </c>
      <c r="H108" s="204">
        <f t="shared" si="7"/>
        <v>100</v>
      </c>
      <c r="I108" s="208">
        <v>29</v>
      </c>
      <c r="J108" s="272">
        <f t="shared" si="8"/>
        <v>1</v>
      </c>
      <c r="K108" s="194"/>
    </row>
    <row r="109" spans="1:11" ht="16.5">
      <c r="A109" s="348"/>
      <c r="B109" s="349"/>
      <c r="C109" s="202" t="s">
        <v>137</v>
      </c>
      <c r="D109" s="208">
        <v>467</v>
      </c>
      <c r="E109" s="208">
        <v>467</v>
      </c>
      <c r="F109" s="208">
        <v>467</v>
      </c>
      <c r="G109" s="208">
        <v>467</v>
      </c>
      <c r="H109" s="204">
        <f t="shared" si="7"/>
        <v>100</v>
      </c>
      <c r="I109" s="208">
        <v>467</v>
      </c>
      <c r="J109" s="272">
        <f t="shared" si="8"/>
        <v>1</v>
      </c>
      <c r="K109" s="194"/>
    </row>
    <row r="110" spans="1:11" ht="16.5">
      <c r="A110" s="348" t="s">
        <v>207</v>
      </c>
      <c r="B110" s="349" t="s">
        <v>208</v>
      </c>
      <c r="C110" s="202" t="s">
        <v>135</v>
      </c>
      <c r="D110" s="208">
        <v>384</v>
      </c>
      <c r="E110" s="208">
        <v>420</v>
      </c>
      <c r="F110" s="208">
        <v>450</v>
      </c>
      <c r="G110" s="208">
        <v>450</v>
      </c>
      <c r="H110" s="204">
        <f t="shared" si="7"/>
        <v>117.1875</v>
      </c>
      <c r="I110" s="208">
        <v>580</v>
      </c>
      <c r="J110" s="272">
        <f t="shared" si="8"/>
        <v>1.288888888888889</v>
      </c>
      <c r="K110" s="194"/>
    </row>
    <row r="111" spans="1:11" ht="16.5">
      <c r="A111" s="348"/>
      <c r="B111" s="349"/>
      <c r="C111" s="202" t="s">
        <v>137</v>
      </c>
      <c r="D111" s="208">
        <v>2251</v>
      </c>
      <c r="E111" s="208">
        <v>4620</v>
      </c>
      <c r="F111" s="208">
        <v>4950</v>
      </c>
      <c r="G111" s="208">
        <v>4950</v>
      </c>
      <c r="H111" s="204">
        <f t="shared" si="7"/>
        <v>219.9022656597068</v>
      </c>
      <c r="I111" s="208">
        <f>I110*11</f>
        <v>6380</v>
      </c>
      <c r="J111" s="272">
        <f t="shared" si="8"/>
        <v>1.288888888888889</v>
      </c>
      <c r="K111" s="194"/>
    </row>
    <row r="112" spans="1:11" ht="16.5">
      <c r="A112" s="348" t="s">
        <v>209</v>
      </c>
      <c r="B112" s="349" t="s">
        <v>210</v>
      </c>
      <c r="C112" s="202" t="s">
        <v>135</v>
      </c>
      <c r="D112" s="208">
        <v>10</v>
      </c>
      <c r="E112" s="208">
        <v>10</v>
      </c>
      <c r="F112" s="208">
        <v>10</v>
      </c>
      <c r="G112" s="208">
        <v>10</v>
      </c>
      <c r="H112" s="204">
        <f t="shared" si="7"/>
        <v>100</v>
      </c>
      <c r="I112" s="208">
        <v>10</v>
      </c>
      <c r="J112" s="272">
        <f t="shared" si="8"/>
        <v>1</v>
      </c>
      <c r="K112" s="194"/>
    </row>
    <row r="113" spans="1:11" ht="16.5">
      <c r="A113" s="348"/>
      <c r="B113" s="349"/>
      <c r="C113" s="202" t="s">
        <v>137</v>
      </c>
      <c r="D113" s="208">
        <v>265</v>
      </c>
      <c r="E113" s="208">
        <v>80</v>
      </c>
      <c r="F113" s="208">
        <v>80</v>
      </c>
      <c r="G113" s="208">
        <v>80</v>
      </c>
      <c r="H113" s="204">
        <f t="shared" si="7"/>
        <v>30.18867924528302</v>
      </c>
      <c r="I113" s="208">
        <v>80</v>
      </c>
      <c r="J113" s="272">
        <f t="shared" si="8"/>
        <v>1</v>
      </c>
      <c r="K113" s="194"/>
    </row>
    <row r="114" spans="1:11" ht="16.5">
      <c r="A114" s="348" t="s">
        <v>211</v>
      </c>
      <c r="B114" s="349" t="s">
        <v>212</v>
      </c>
      <c r="C114" s="202" t="s">
        <v>135</v>
      </c>
      <c r="D114" s="208">
        <v>10</v>
      </c>
      <c r="E114" s="208">
        <v>10</v>
      </c>
      <c r="F114" s="208">
        <v>10</v>
      </c>
      <c r="G114" s="208">
        <v>10</v>
      </c>
      <c r="H114" s="204">
        <f t="shared" si="7"/>
        <v>100</v>
      </c>
      <c r="I114" s="208">
        <v>10</v>
      </c>
      <c r="J114" s="272">
        <f t="shared" si="8"/>
        <v>1</v>
      </c>
      <c r="K114" s="194"/>
    </row>
    <row r="115" spans="1:11" ht="16.5">
      <c r="A115" s="348"/>
      <c r="B115" s="349"/>
      <c r="C115" s="202" t="s">
        <v>137</v>
      </c>
      <c r="D115" s="208">
        <v>128</v>
      </c>
      <c r="E115" s="208">
        <v>95</v>
      </c>
      <c r="F115" s="208">
        <v>95</v>
      </c>
      <c r="G115" s="208">
        <v>95</v>
      </c>
      <c r="H115" s="204">
        <f t="shared" si="7"/>
        <v>74.21875</v>
      </c>
      <c r="I115" s="208">
        <v>95</v>
      </c>
      <c r="J115" s="272">
        <f t="shared" si="8"/>
        <v>1</v>
      </c>
      <c r="K115" s="194"/>
    </row>
    <row r="116" spans="1:11" ht="16.5">
      <c r="A116" s="348" t="s">
        <v>213</v>
      </c>
      <c r="B116" s="349" t="s">
        <v>214</v>
      </c>
      <c r="C116" s="202" t="s">
        <v>135</v>
      </c>
      <c r="D116" s="208">
        <v>6</v>
      </c>
      <c r="E116" s="208">
        <v>6</v>
      </c>
      <c r="F116" s="208">
        <v>6</v>
      </c>
      <c r="G116" s="208">
        <v>6</v>
      </c>
      <c r="H116" s="204">
        <f t="shared" si="7"/>
        <v>100</v>
      </c>
      <c r="I116" s="208">
        <v>8</v>
      </c>
      <c r="J116" s="272">
        <f t="shared" si="8"/>
        <v>1.3333333333333333</v>
      </c>
      <c r="K116" s="194"/>
    </row>
    <row r="117" spans="1:11" ht="16.5">
      <c r="A117" s="348"/>
      <c r="B117" s="349"/>
      <c r="C117" s="202" t="s">
        <v>137</v>
      </c>
      <c r="D117" s="216">
        <v>32</v>
      </c>
      <c r="E117" s="208">
        <v>19</v>
      </c>
      <c r="F117" s="208">
        <v>19</v>
      </c>
      <c r="G117" s="208">
        <v>19</v>
      </c>
      <c r="H117" s="204">
        <f t="shared" si="7"/>
        <v>59.375</v>
      </c>
      <c r="I117" s="208">
        <v>24</v>
      </c>
      <c r="J117" s="272">
        <f t="shared" si="8"/>
        <v>1.263157894736842</v>
      </c>
      <c r="K117" s="194"/>
    </row>
    <row r="118" spans="1:11" ht="16.5">
      <c r="A118" s="348" t="s">
        <v>215</v>
      </c>
      <c r="B118" s="349" t="s">
        <v>216</v>
      </c>
      <c r="C118" s="202" t="s">
        <v>135</v>
      </c>
      <c r="D118" s="208">
        <v>437</v>
      </c>
      <c r="E118" s="208">
        <v>450</v>
      </c>
      <c r="F118" s="208">
        <v>450</v>
      </c>
      <c r="G118" s="208">
        <v>450</v>
      </c>
      <c r="H118" s="204">
        <f t="shared" si="7"/>
        <v>102.97482837528604</v>
      </c>
      <c r="I118" s="208">
        <v>470</v>
      </c>
      <c r="J118" s="272">
        <f t="shared" si="8"/>
        <v>1.0444444444444445</v>
      </c>
      <c r="K118" s="194"/>
    </row>
    <row r="119" spans="1:15" ht="16.5">
      <c r="A119" s="348"/>
      <c r="B119" s="349"/>
      <c r="C119" s="202" t="s">
        <v>137</v>
      </c>
      <c r="D119" s="208">
        <v>5088</v>
      </c>
      <c r="E119" s="208">
        <v>5400</v>
      </c>
      <c r="F119" s="208">
        <v>5400</v>
      </c>
      <c r="G119" s="208">
        <v>5400</v>
      </c>
      <c r="H119" s="204">
        <f t="shared" si="7"/>
        <v>106.13207547169812</v>
      </c>
      <c r="I119" s="208">
        <f>I118*12</f>
        <v>5640</v>
      </c>
      <c r="J119" s="272">
        <f t="shared" si="8"/>
        <v>1.0444444444444445</v>
      </c>
      <c r="K119" s="194"/>
      <c r="O119" t="s">
        <v>120</v>
      </c>
    </row>
    <row r="120" spans="1:11" ht="16.5">
      <c r="A120" s="348" t="s">
        <v>217</v>
      </c>
      <c r="B120" s="349" t="s">
        <v>218</v>
      </c>
      <c r="C120" s="202" t="s">
        <v>135</v>
      </c>
      <c r="D120" s="208">
        <v>20</v>
      </c>
      <c r="E120" s="208">
        <v>22</v>
      </c>
      <c r="F120" s="208">
        <v>22</v>
      </c>
      <c r="G120" s="208">
        <v>22</v>
      </c>
      <c r="H120" s="204">
        <f t="shared" si="7"/>
        <v>110.00000000000001</v>
      </c>
      <c r="I120" s="208">
        <v>60</v>
      </c>
      <c r="J120" s="272">
        <f t="shared" si="8"/>
        <v>2.727272727272727</v>
      </c>
      <c r="K120" s="194"/>
    </row>
    <row r="121" spans="1:11" ht="16.5">
      <c r="A121" s="348"/>
      <c r="B121" s="349"/>
      <c r="C121" s="202" t="s">
        <v>137</v>
      </c>
      <c r="D121" s="208">
        <v>265</v>
      </c>
      <c r="E121" s="208">
        <v>308</v>
      </c>
      <c r="F121" s="208">
        <v>308</v>
      </c>
      <c r="G121" s="208">
        <v>308</v>
      </c>
      <c r="H121" s="204">
        <f t="shared" si="7"/>
        <v>116.22641509433961</v>
      </c>
      <c r="I121" s="208">
        <f>I120*16</f>
        <v>960</v>
      </c>
      <c r="J121" s="272">
        <f t="shared" si="8"/>
        <v>3.116883116883117</v>
      </c>
      <c r="K121" s="194"/>
    </row>
    <row r="122" spans="1:11" ht="16.5">
      <c r="A122" s="348" t="s">
        <v>219</v>
      </c>
      <c r="B122" s="349" t="s">
        <v>220</v>
      </c>
      <c r="C122" s="202" t="s">
        <v>135</v>
      </c>
      <c r="D122" s="208">
        <v>283</v>
      </c>
      <c r="E122" s="208">
        <v>295</v>
      </c>
      <c r="F122" s="208">
        <v>295</v>
      </c>
      <c r="G122" s="208">
        <v>295</v>
      </c>
      <c r="H122" s="204">
        <f t="shared" si="7"/>
        <v>104.24028268551237</v>
      </c>
      <c r="I122" s="208">
        <v>350</v>
      </c>
      <c r="J122" s="272">
        <f t="shared" si="8"/>
        <v>1.1864406779661016</v>
      </c>
      <c r="K122" s="194"/>
    </row>
    <row r="123" spans="1:11" ht="16.5">
      <c r="A123" s="348"/>
      <c r="B123" s="349"/>
      <c r="C123" s="202" t="s">
        <v>137</v>
      </c>
      <c r="D123" s="217">
        <v>1826</v>
      </c>
      <c r="E123" s="217">
        <v>2655</v>
      </c>
      <c r="F123" s="217">
        <v>2655</v>
      </c>
      <c r="G123" s="217">
        <v>2655</v>
      </c>
      <c r="H123" s="204">
        <f t="shared" si="7"/>
        <v>145.39978094194961</v>
      </c>
      <c r="I123" s="217">
        <f>I122*9</f>
        <v>3150</v>
      </c>
      <c r="J123" s="272">
        <f t="shared" si="8"/>
        <v>1.1864406779661016</v>
      </c>
      <c r="K123" s="194"/>
    </row>
    <row r="124" spans="1:11" ht="16.5">
      <c r="A124" s="348" t="s">
        <v>221</v>
      </c>
      <c r="B124" s="349" t="s">
        <v>222</v>
      </c>
      <c r="C124" s="202" t="s">
        <v>135</v>
      </c>
      <c r="D124" s="208">
        <v>44</v>
      </c>
      <c r="E124" s="208">
        <v>44</v>
      </c>
      <c r="F124" s="208">
        <v>44</v>
      </c>
      <c r="G124" s="208">
        <v>44</v>
      </c>
      <c r="H124" s="204">
        <f t="shared" si="7"/>
        <v>100</v>
      </c>
      <c r="I124" s="208">
        <v>65</v>
      </c>
      <c r="J124" s="272">
        <f t="shared" si="8"/>
        <v>1.4772727272727273</v>
      </c>
      <c r="K124" s="194"/>
    </row>
    <row r="125" spans="1:11" ht="16.5">
      <c r="A125" s="348"/>
      <c r="B125" s="349"/>
      <c r="C125" s="202" t="s">
        <v>137</v>
      </c>
      <c r="D125" s="208">
        <v>284</v>
      </c>
      <c r="E125" s="208">
        <v>308</v>
      </c>
      <c r="F125" s="208">
        <v>308</v>
      </c>
      <c r="G125" s="208">
        <v>308</v>
      </c>
      <c r="H125" s="204">
        <f t="shared" si="7"/>
        <v>108.45070422535213</v>
      </c>
      <c r="I125" s="208">
        <f>I124*9</f>
        <v>585</v>
      </c>
      <c r="J125" s="272">
        <f t="shared" si="8"/>
        <v>1.8993506493506493</v>
      </c>
      <c r="K125" s="194"/>
    </row>
    <row r="126" spans="1:11" ht="16.5">
      <c r="A126" s="350">
        <v>3</v>
      </c>
      <c r="B126" s="351" t="s">
        <v>223</v>
      </c>
      <c r="C126" s="191" t="s">
        <v>135</v>
      </c>
      <c r="D126" s="213">
        <v>175</v>
      </c>
      <c r="E126" s="213">
        <v>140</v>
      </c>
      <c r="F126" s="213">
        <v>140</v>
      </c>
      <c r="G126" s="213">
        <v>140</v>
      </c>
      <c r="H126" s="197">
        <f t="shared" si="7"/>
        <v>80</v>
      </c>
      <c r="I126" s="213">
        <v>105</v>
      </c>
      <c r="J126" s="271">
        <f t="shared" si="8"/>
        <v>0.75</v>
      </c>
      <c r="K126" s="194"/>
    </row>
    <row r="127" spans="1:11" ht="16.5">
      <c r="A127" s="350"/>
      <c r="B127" s="351"/>
      <c r="C127" s="191" t="s">
        <v>137</v>
      </c>
      <c r="D127" s="213">
        <v>2500</v>
      </c>
      <c r="E127" s="213">
        <v>1120</v>
      </c>
      <c r="F127" s="213">
        <v>1120</v>
      </c>
      <c r="G127" s="213">
        <v>1120</v>
      </c>
      <c r="H127" s="197">
        <f t="shared" si="7"/>
        <v>44.800000000000004</v>
      </c>
      <c r="I127" s="213">
        <v>1120</v>
      </c>
      <c r="J127" s="271">
        <f t="shared" si="8"/>
        <v>1</v>
      </c>
      <c r="K127" s="194"/>
    </row>
    <row r="128" spans="1:11" ht="21.75" customHeight="1">
      <c r="A128" s="190">
        <v>4</v>
      </c>
      <c r="B128" s="212" t="s">
        <v>224</v>
      </c>
      <c r="C128" s="191" t="s">
        <v>135</v>
      </c>
      <c r="D128" s="213">
        <v>12</v>
      </c>
      <c r="E128" s="213">
        <v>12</v>
      </c>
      <c r="F128" s="213">
        <v>12</v>
      </c>
      <c r="G128" s="213">
        <v>12</v>
      </c>
      <c r="H128" s="197">
        <f t="shared" si="7"/>
        <v>100</v>
      </c>
      <c r="I128" s="213">
        <v>12</v>
      </c>
      <c r="J128" s="271">
        <f t="shared" si="8"/>
        <v>1</v>
      </c>
      <c r="K128" s="194"/>
    </row>
    <row r="129" spans="1:11" ht="17.25" customHeight="1">
      <c r="A129" s="190">
        <v>5</v>
      </c>
      <c r="B129" s="212" t="s">
        <v>225</v>
      </c>
      <c r="C129" s="191" t="s">
        <v>135</v>
      </c>
      <c r="D129" s="213">
        <v>7</v>
      </c>
      <c r="E129" s="213">
        <v>8</v>
      </c>
      <c r="F129" s="213">
        <v>8</v>
      </c>
      <c r="G129" s="213">
        <v>8</v>
      </c>
      <c r="H129" s="197">
        <f t="shared" si="7"/>
        <v>114.28571428571428</v>
      </c>
      <c r="I129" s="213">
        <v>12</v>
      </c>
      <c r="J129" s="271">
        <f t="shared" si="8"/>
        <v>1.5</v>
      </c>
      <c r="K129" s="194"/>
    </row>
    <row r="130" spans="1:11" ht="21.75" customHeight="1">
      <c r="A130" s="190" t="s">
        <v>226</v>
      </c>
      <c r="B130" s="196" t="s">
        <v>227</v>
      </c>
      <c r="C130" s="218"/>
      <c r="D130" s="219">
        <f>SUM(D131:D137)</f>
        <v>337316</v>
      </c>
      <c r="E130" s="219">
        <f>SUM(E131:E137)</f>
        <v>355795</v>
      </c>
      <c r="F130" s="219">
        <f>SUM(F131:F136)</f>
        <v>245000</v>
      </c>
      <c r="G130" s="219">
        <f>SUM(G131:G136)</f>
        <v>353254</v>
      </c>
      <c r="H130" s="197">
        <f t="shared" si="7"/>
        <v>104.72494634111634</v>
      </c>
      <c r="I130" s="219">
        <f>SUM(I131:I137)</f>
        <v>367990</v>
      </c>
      <c r="J130" s="271">
        <f t="shared" si="8"/>
        <v>1.0417150265814399</v>
      </c>
      <c r="K130" s="194"/>
    </row>
    <row r="131" spans="1:11" ht="16.5">
      <c r="A131" s="195"/>
      <c r="B131" s="201" t="s">
        <v>228</v>
      </c>
      <c r="C131" s="220" t="s">
        <v>229</v>
      </c>
      <c r="D131" s="208">
        <v>180</v>
      </c>
      <c r="E131" s="208">
        <v>180</v>
      </c>
      <c r="F131" s="208">
        <v>176</v>
      </c>
      <c r="G131" s="208">
        <v>184</v>
      </c>
      <c r="H131" s="204">
        <f t="shared" si="7"/>
        <v>102.22222222222221</v>
      </c>
      <c r="I131" s="208">
        <v>170</v>
      </c>
      <c r="J131" s="272">
        <f t="shared" si="8"/>
        <v>0.9239130434782609</v>
      </c>
      <c r="K131" s="194"/>
    </row>
    <row r="132" spans="1:11" ht="16.5">
      <c r="A132" s="195"/>
      <c r="B132" s="221" t="s">
        <v>230</v>
      </c>
      <c r="C132" s="220" t="s">
        <v>229</v>
      </c>
      <c r="D132" s="208">
        <v>3620</v>
      </c>
      <c r="E132" s="208">
        <v>3700</v>
      </c>
      <c r="F132" s="208">
        <f>3390-176</f>
        <v>3214</v>
      </c>
      <c r="G132" s="208">
        <v>3685</v>
      </c>
      <c r="H132" s="204">
        <f t="shared" si="7"/>
        <v>101.79558011049723</v>
      </c>
      <c r="I132" s="208">
        <v>3600</v>
      </c>
      <c r="J132" s="272">
        <f t="shared" si="8"/>
        <v>0.9769335142469471</v>
      </c>
      <c r="K132" s="194"/>
    </row>
    <row r="133" spans="1:11" ht="16.5">
      <c r="A133" s="195"/>
      <c r="B133" s="201" t="s">
        <v>231</v>
      </c>
      <c r="C133" s="220" t="s">
        <v>229</v>
      </c>
      <c r="D133" s="208">
        <v>18520</v>
      </c>
      <c r="E133" s="208">
        <v>19050</v>
      </c>
      <c r="F133" s="208">
        <v>14580</v>
      </c>
      <c r="G133" s="208">
        <v>17580</v>
      </c>
      <c r="H133" s="204">
        <f t="shared" si="7"/>
        <v>94.9244060475162</v>
      </c>
      <c r="I133" s="208">
        <v>16500</v>
      </c>
      <c r="J133" s="272">
        <f t="shared" si="8"/>
        <v>0.9385665529010239</v>
      </c>
      <c r="K133" s="194"/>
    </row>
    <row r="134" spans="1:11" ht="16.5">
      <c r="A134" s="195"/>
      <c r="B134" s="201" t="s">
        <v>232</v>
      </c>
      <c r="C134" s="220" t="s">
        <v>229</v>
      </c>
      <c r="D134" s="208">
        <v>302442</v>
      </c>
      <c r="E134" s="208">
        <v>320000</v>
      </c>
      <c r="F134" s="208">
        <f>245000-F131-F132-F133-F135-F136</f>
        <v>217425</v>
      </c>
      <c r="G134" s="208">
        <v>322000</v>
      </c>
      <c r="H134" s="204">
        <f t="shared" si="7"/>
        <v>106.46669444058696</v>
      </c>
      <c r="I134" s="208">
        <v>335000</v>
      </c>
      <c r="J134" s="272">
        <f t="shared" si="8"/>
        <v>1.0403726708074534</v>
      </c>
      <c r="K134" s="194"/>
    </row>
    <row r="135" spans="1:11" ht="16.5">
      <c r="A135" s="195"/>
      <c r="B135" s="201" t="s">
        <v>233</v>
      </c>
      <c r="C135" s="220" t="s">
        <v>229</v>
      </c>
      <c r="D135" s="208">
        <v>1028</v>
      </c>
      <c r="E135" s="208">
        <v>1050</v>
      </c>
      <c r="F135" s="208">
        <v>1095</v>
      </c>
      <c r="G135" s="208">
        <v>1155</v>
      </c>
      <c r="H135" s="204">
        <f t="shared" si="7"/>
        <v>112.35408560311284</v>
      </c>
      <c r="I135" s="208">
        <v>1150</v>
      </c>
      <c r="J135" s="272">
        <f t="shared" si="8"/>
        <v>0.9956709956709957</v>
      </c>
      <c r="K135" s="194"/>
    </row>
    <row r="136" spans="1:11" ht="16.5">
      <c r="A136" s="195"/>
      <c r="B136" s="201" t="s">
        <v>234</v>
      </c>
      <c r="C136" s="220" t="s">
        <v>229</v>
      </c>
      <c r="D136" s="208">
        <v>8460</v>
      </c>
      <c r="E136" s="208">
        <v>8580</v>
      </c>
      <c r="F136" s="208">
        <v>8510</v>
      </c>
      <c r="G136" s="208">
        <v>8650</v>
      </c>
      <c r="H136" s="204">
        <f t="shared" si="7"/>
        <v>102.24586288416076</v>
      </c>
      <c r="I136" s="208">
        <v>8450</v>
      </c>
      <c r="J136" s="272">
        <f t="shared" si="8"/>
        <v>0.976878612716763</v>
      </c>
      <c r="K136" s="194"/>
    </row>
    <row r="137" spans="1:11" ht="16.5">
      <c r="A137" s="195"/>
      <c r="B137" s="201" t="s">
        <v>235</v>
      </c>
      <c r="C137" s="220" t="s">
        <v>236</v>
      </c>
      <c r="D137" s="208">
        <v>3066</v>
      </c>
      <c r="E137" s="208">
        <v>3235</v>
      </c>
      <c r="F137" s="208">
        <v>1250</v>
      </c>
      <c r="G137" s="208">
        <v>3450</v>
      </c>
      <c r="H137" s="204">
        <f t="shared" si="7"/>
        <v>112.52446183953033</v>
      </c>
      <c r="I137" s="208">
        <v>3120</v>
      </c>
      <c r="J137" s="272">
        <f t="shared" si="8"/>
        <v>0.9043478260869565</v>
      </c>
      <c r="K137" s="194"/>
    </row>
    <row r="138" spans="1:11" ht="16.5">
      <c r="A138" s="190" t="s">
        <v>237</v>
      </c>
      <c r="B138" s="196" t="s">
        <v>238</v>
      </c>
      <c r="C138" s="191"/>
      <c r="D138" s="208"/>
      <c r="E138" s="208"/>
      <c r="F138" s="208"/>
      <c r="G138" s="208"/>
      <c r="H138" s="204"/>
      <c r="I138" s="208"/>
      <c r="J138" s="272"/>
      <c r="K138" s="194"/>
    </row>
    <row r="139" spans="1:11" ht="16.5">
      <c r="A139" s="195"/>
      <c r="B139" s="201" t="s">
        <v>239</v>
      </c>
      <c r="C139" s="202" t="s">
        <v>240</v>
      </c>
      <c r="D139" s="208">
        <v>330</v>
      </c>
      <c r="E139" s="208">
        <v>330</v>
      </c>
      <c r="F139" s="208">
        <v>330</v>
      </c>
      <c r="G139" s="208">
        <v>330</v>
      </c>
      <c r="H139" s="204">
        <f>G139/D139*100</f>
        <v>100</v>
      </c>
      <c r="I139" s="208">
        <v>330</v>
      </c>
      <c r="J139" s="272">
        <f aca="true" t="shared" si="10" ref="J139:J152">I139/G139</f>
        <v>1</v>
      </c>
      <c r="K139" s="194"/>
    </row>
    <row r="140" spans="1:11" ht="16.5">
      <c r="A140" s="195"/>
      <c r="B140" s="201" t="s">
        <v>241</v>
      </c>
      <c r="C140" s="202" t="s">
        <v>242</v>
      </c>
      <c r="D140" s="208">
        <v>690</v>
      </c>
      <c r="E140" s="208">
        <v>690</v>
      </c>
      <c r="F140" s="208">
        <v>310</v>
      </c>
      <c r="G140" s="208">
        <v>695</v>
      </c>
      <c r="H140" s="204">
        <f>G140/D140*100</f>
        <v>100.72463768115942</v>
      </c>
      <c r="I140" s="208">
        <v>690</v>
      </c>
      <c r="J140" s="272">
        <f t="shared" si="10"/>
        <v>0.9928057553956835</v>
      </c>
      <c r="K140" s="194"/>
    </row>
    <row r="141" spans="1:11" ht="33.75" customHeight="1">
      <c r="A141" s="195"/>
      <c r="B141" s="222" t="s">
        <v>243</v>
      </c>
      <c r="C141" s="202" t="s">
        <v>242</v>
      </c>
      <c r="D141" s="208">
        <v>476</v>
      </c>
      <c r="E141" s="208">
        <v>476</v>
      </c>
      <c r="F141" s="208">
        <v>240</v>
      </c>
      <c r="G141" s="208">
        <v>485</v>
      </c>
      <c r="H141" s="204">
        <f>G141/D141*100</f>
        <v>101.890756302521</v>
      </c>
      <c r="I141" s="208">
        <v>476</v>
      </c>
      <c r="J141" s="272">
        <f t="shared" si="10"/>
        <v>0.9814432989690721</v>
      </c>
      <c r="K141" s="194"/>
    </row>
    <row r="142" spans="1:11" ht="17.25">
      <c r="A142" s="223" t="s">
        <v>244</v>
      </c>
      <c r="B142" s="223" t="s">
        <v>245</v>
      </c>
      <c r="C142" s="193"/>
      <c r="D142" s="208"/>
      <c r="E142" s="208"/>
      <c r="F142" s="208"/>
      <c r="G142" s="208"/>
      <c r="H142" s="197"/>
      <c r="I142" s="208"/>
      <c r="J142" s="272"/>
      <c r="K142" s="194"/>
    </row>
    <row r="143" spans="1:11" ht="22.5" customHeight="1">
      <c r="A143" s="224"/>
      <c r="B143" s="225" t="s">
        <v>246</v>
      </c>
      <c r="C143" s="226"/>
      <c r="D143" s="227"/>
      <c r="E143" s="227"/>
      <c r="F143" s="227"/>
      <c r="G143" s="227"/>
      <c r="H143" s="197"/>
      <c r="I143" s="227"/>
      <c r="J143" s="272"/>
      <c r="K143" s="194"/>
    </row>
    <row r="144" spans="1:11" ht="19.5" customHeight="1">
      <c r="A144" s="228">
        <v>1</v>
      </c>
      <c r="B144" s="229" t="s">
        <v>247</v>
      </c>
      <c r="C144" s="228" t="s">
        <v>248</v>
      </c>
      <c r="D144" s="230">
        <v>61</v>
      </c>
      <c r="E144" s="230">
        <v>67</v>
      </c>
      <c r="F144" s="231">
        <v>37.1</v>
      </c>
      <c r="G144" s="230">
        <v>69</v>
      </c>
      <c r="H144" s="204">
        <f aca="true" t="shared" si="11" ref="H144:H152">G144/D144*100</f>
        <v>113.11475409836065</v>
      </c>
      <c r="I144" s="230">
        <v>77</v>
      </c>
      <c r="J144" s="272">
        <f t="shared" si="10"/>
        <v>1.1159420289855073</v>
      </c>
      <c r="K144" s="194"/>
    </row>
    <row r="145" spans="1:11" ht="20.25" customHeight="1">
      <c r="A145" s="228">
        <v>2</v>
      </c>
      <c r="B145" s="232" t="s">
        <v>249</v>
      </c>
      <c r="C145" s="228" t="s">
        <v>250</v>
      </c>
      <c r="D145" s="230">
        <v>400</v>
      </c>
      <c r="E145" s="230">
        <v>430</v>
      </c>
      <c r="F145" s="230">
        <v>229</v>
      </c>
      <c r="G145" s="230">
        <v>450</v>
      </c>
      <c r="H145" s="204">
        <f t="shared" si="11"/>
        <v>112.5</v>
      </c>
      <c r="I145" s="230">
        <v>460</v>
      </c>
      <c r="J145" s="272">
        <f t="shared" si="10"/>
        <v>1.0222222222222221</v>
      </c>
      <c r="K145" s="194"/>
    </row>
    <row r="146" spans="1:11" ht="21" customHeight="1">
      <c r="A146" s="228">
        <v>3</v>
      </c>
      <c r="B146" s="229" t="s">
        <v>251</v>
      </c>
      <c r="C146" s="228" t="s">
        <v>252</v>
      </c>
      <c r="D146" s="230">
        <v>52</v>
      </c>
      <c r="E146" s="230">
        <v>53</v>
      </c>
      <c r="F146" s="230">
        <v>35</v>
      </c>
      <c r="G146" s="230">
        <v>53</v>
      </c>
      <c r="H146" s="204">
        <f t="shared" si="11"/>
        <v>101.92307692307692</v>
      </c>
      <c r="I146" s="230">
        <v>54</v>
      </c>
      <c r="J146" s="272">
        <f t="shared" si="10"/>
        <v>1.0188679245283019</v>
      </c>
      <c r="K146" s="194"/>
    </row>
    <row r="147" spans="1:11" ht="16.5">
      <c r="A147" s="228">
        <v>4</v>
      </c>
      <c r="B147" s="233" t="s">
        <v>253</v>
      </c>
      <c r="C147" s="228" t="s">
        <v>242</v>
      </c>
      <c r="D147" s="230">
        <v>290</v>
      </c>
      <c r="E147" s="230">
        <v>340</v>
      </c>
      <c r="F147" s="230">
        <v>180</v>
      </c>
      <c r="G147" s="230">
        <v>340</v>
      </c>
      <c r="H147" s="204">
        <f t="shared" si="11"/>
        <v>117.24137931034481</v>
      </c>
      <c r="I147" s="230">
        <v>400</v>
      </c>
      <c r="J147" s="272">
        <f t="shared" si="10"/>
        <v>1.1764705882352942</v>
      </c>
      <c r="K147" s="194"/>
    </row>
    <row r="148" spans="1:11" ht="16.5">
      <c r="A148" s="228">
        <v>5</v>
      </c>
      <c r="B148" s="232" t="s">
        <v>254</v>
      </c>
      <c r="C148" s="228" t="s">
        <v>255</v>
      </c>
      <c r="D148" s="230">
        <v>550</v>
      </c>
      <c r="E148" s="230">
        <v>610</v>
      </c>
      <c r="F148" s="230">
        <v>312</v>
      </c>
      <c r="G148" s="230">
        <v>620</v>
      </c>
      <c r="H148" s="204">
        <f t="shared" si="11"/>
        <v>112.72727272727272</v>
      </c>
      <c r="I148" s="230">
        <v>680</v>
      </c>
      <c r="J148" s="272">
        <f t="shared" si="10"/>
        <v>1.096774193548387</v>
      </c>
      <c r="K148" s="194"/>
    </row>
    <row r="149" spans="1:11" ht="16.5">
      <c r="A149" s="228">
        <v>6</v>
      </c>
      <c r="B149" s="232" t="s">
        <v>256</v>
      </c>
      <c r="C149" s="228" t="s">
        <v>242</v>
      </c>
      <c r="D149" s="230">
        <v>1500</v>
      </c>
      <c r="E149" s="230">
        <v>1660</v>
      </c>
      <c r="F149" s="230">
        <v>915</v>
      </c>
      <c r="G149" s="230">
        <v>1680</v>
      </c>
      <c r="H149" s="204">
        <f t="shared" si="11"/>
        <v>112.00000000000001</v>
      </c>
      <c r="I149" s="230">
        <v>1840</v>
      </c>
      <c r="J149" s="272">
        <f t="shared" si="10"/>
        <v>1.0952380952380953</v>
      </c>
      <c r="K149" s="194"/>
    </row>
    <row r="150" spans="1:11" ht="16.5">
      <c r="A150" s="228">
        <v>7</v>
      </c>
      <c r="B150" s="232" t="s">
        <v>257</v>
      </c>
      <c r="C150" s="228" t="s">
        <v>242</v>
      </c>
      <c r="D150" s="230">
        <v>480</v>
      </c>
      <c r="E150" s="230">
        <v>450</v>
      </c>
      <c r="F150" s="230">
        <v>202</v>
      </c>
      <c r="G150" s="230">
        <v>400</v>
      </c>
      <c r="H150" s="204">
        <f t="shared" si="11"/>
        <v>83.33333333333334</v>
      </c>
      <c r="I150" s="230">
        <v>440</v>
      </c>
      <c r="J150" s="272">
        <f t="shared" si="10"/>
        <v>1.1</v>
      </c>
      <c r="K150" s="194"/>
    </row>
    <row r="151" spans="1:11" ht="16.5">
      <c r="A151" s="228">
        <v>8</v>
      </c>
      <c r="B151" s="232" t="s">
        <v>258</v>
      </c>
      <c r="C151" s="228" t="s">
        <v>250</v>
      </c>
      <c r="D151" s="230">
        <v>700</v>
      </c>
      <c r="E151" s="230">
        <v>770</v>
      </c>
      <c r="F151" s="230">
        <v>401</v>
      </c>
      <c r="G151" s="230">
        <v>785</v>
      </c>
      <c r="H151" s="204">
        <f t="shared" si="11"/>
        <v>112.14285714285714</v>
      </c>
      <c r="I151" s="230">
        <v>850</v>
      </c>
      <c r="J151" s="272">
        <f t="shared" si="10"/>
        <v>1.0828025477707006</v>
      </c>
      <c r="K151" s="194"/>
    </row>
    <row r="152" spans="1:11" ht="16.5">
      <c r="A152" s="228">
        <v>9</v>
      </c>
      <c r="B152" s="232" t="s">
        <v>259</v>
      </c>
      <c r="C152" s="228" t="s">
        <v>260</v>
      </c>
      <c r="D152" s="230">
        <v>4700</v>
      </c>
      <c r="E152" s="230">
        <v>5800</v>
      </c>
      <c r="F152" s="230">
        <v>2650</v>
      </c>
      <c r="G152" s="230">
        <v>5500</v>
      </c>
      <c r="H152" s="204">
        <f t="shared" si="11"/>
        <v>117.02127659574468</v>
      </c>
      <c r="I152" s="230">
        <v>6300</v>
      </c>
      <c r="J152" s="272">
        <f t="shared" si="10"/>
        <v>1.1454545454545455</v>
      </c>
      <c r="K152" s="194"/>
    </row>
    <row r="153" spans="1:11" ht="16.5">
      <c r="A153" s="234"/>
      <c r="B153" s="234"/>
      <c r="C153" s="234"/>
      <c r="D153" s="235"/>
      <c r="E153" s="234"/>
      <c r="F153" s="234"/>
      <c r="G153" s="234"/>
      <c r="H153" s="234"/>
      <c r="I153" s="234"/>
      <c r="J153" s="234"/>
      <c r="K153" s="234"/>
    </row>
    <row r="158" ht="16.5">
      <c r="J158" t="s">
        <v>120</v>
      </c>
    </row>
  </sheetData>
  <sheetProtection/>
  <mergeCells count="116">
    <mergeCell ref="E5:H7"/>
    <mergeCell ref="I5:I8"/>
    <mergeCell ref="J5:J8"/>
    <mergeCell ref="K5:K8"/>
    <mergeCell ref="A1:K1"/>
    <mergeCell ref="A2:K2"/>
    <mergeCell ref="A3:K3"/>
    <mergeCell ref="A4:G4"/>
    <mergeCell ref="A22:A23"/>
    <mergeCell ref="B22:B23"/>
    <mergeCell ref="A16:A17"/>
    <mergeCell ref="B16:B17"/>
    <mergeCell ref="A18:A19"/>
    <mergeCell ref="B18:B19"/>
    <mergeCell ref="C5:C8"/>
    <mergeCell ref="D5:D8"/>
    <mergeCell ref="A20:A21"/>
    <mergeCell ref="B20:B21"/>
    <mergeCell ref="A5:A8"/>
    <mergeCell ref="B5:B8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44:A45"/>
    <mergeCell ref="B44:B45"/>
    <mergeCell ref="A46:A47"/>
    <mergeCell ref="B46:B47"/>
    <mergeCell ref="A48:A49"/>
    <mergeCell ref="B48:B49"/>
    <mergeCell ref="A50:A51"/>
    <mergeCell ref="B50:B51"/>
    <mergeCell ref="A52:A53"/>
    <mergeCell ref="B52:B53"/>
    <mergeCell ref="A54:A55"/>
    <mergeCell ref="B54:B55"/>
    <mergeCell ref="A56:A57"/>
    <mergeCell ref="B56:B57"/>
    <mergeCell ref="A58:A59"/>
    <mergeCell ref="B58:B59"/>
    <mergeCell ref="A60:A61"/>
    <mergeCell ref="B60:B61"/>
    <mergeCell ref="A62:A63"/>
    <mergeCell ref="B62:B63"/>
    <mergeCell ref="A64:A65"/>
    <mergeCell ref="B64:B65"/>
    <mergeCell ref="A66:A67"/>
    <mergeCell ref="B66:B67"/>
    <mergeCell ref="A68:A69"/>
    <mergeCell ref="B68:B69"/>
    <mergeCell ref="A70:A71"/>
    <mergeCell ref="B70:B71"/>
    <mergeCell ref="A72:A73"/>
    <mergeCell ref="B72:B73"/>
    <mergeCell ref="A74:A75"/>
    <mergeCell ref="B74:B75"/>
    <mergeCell ref="A76:A77"/>
    <mergeCell ref="B76:B77"/>
    <mergeCell ref="A78:A79"/>
    <mergeCell ref="B78:B79"/>
    <mergeCell ref="A82:A85"/>
    <mergeCell ref="B82:B85"/>
    <mergeCell ref="A86:A87"/>
    <mergeCell ref="B86:B87"/>
    <mergeCell ref="A88:A89"/>
    <mergeCell ref="B88:B89"/>
    <mergeCell ref="A90:A93"/>
    <mergeCell ref="B90:B93"/>
    <mergeCell ref="A94:A97"/>
    <mergeCell ref="B94:B97"/>
    <mergeCell ref="A98:A99"/>
    <mergeCell ref="B98:B99"/>
    <mergeCell ref="A100:A101"/>
    <mergeCell ref="B100:B101"/>
    <mergeCell ref="A102:A103"/>
    <mergeCell ref="B102:B103"/>
    <mergeCell ref="A104:A105"/>
    <mergeCell ref="B104:B105"/>
    <mergeCell ref="A106:A107"/>
    <mergeCell ref="B106:B107"/>
    <mergeCell ref="A108:A109"/>
    <mergeCell ref="B108:B109"/>
    <mergeCell ref="A110:A111"/>
    <mergeCell ref="B110:B111"/>
    <mergeCell ref="A112:A113"/>
    <mergeCell ref="B112:B113"/>
    <mergeCell ref="A114:A115"/>
    <mergeCell ref="B114:B115"/>
    <mergeCell ref="A116:A117"/>
    <mergeCell ref="B116:B117"/>
    <mergeCell ref="A118:A119"/>
    <mergeCell ref="B118:B119"/>
    <mergeCell ref="A120:A121"/>
    <mergeCell ref="B120:B121"/>
    <mergeCell ref="A122:A123"/>
    <mergeCell ref="B122:B123"/>
    <mergeCell ref="A124:A125"/>
    <mergeCell ref="B124:B125"/>
    <mergeCell ref="A126:A127"/>
    <mergeCell ref="B126:B127"/>
  </mergeCells>
  <printOptions/>
  <pageMargins left="0.35" right="0.16" top="0.29" bottom="0.29" header="0.2" footer="0.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" sqref="A1:H1"/>
    </sheetView>
  </sheetViews>
  <sheetFormatPr defaultColWidth="8.88671875" defaultRowHeight="16.5"/>
  <cols>
    <col min="1" max="1" width="4.3359375" style="246" customWidth="1"/>
    <col min="2" max="2" width="16.99609375" style="236" customWidth="1"/>
    <col min="3" max="4" width="12.5546875" style="236" customWidth="1"/>
    <col min="5" max="5" width="13.4453125" style="236" customWidth="1"/>
    <col min="6" max="6" width="26.10546875" style="236" customWidth="1"/>
    <col min="7" max="7" width="12.77734375" style="246" customWidth="1"/>
    <col min="8" max="8" width="13.6640625" style="246" customWidth="1"/>
    <col min="9" max="16384" width="8.88671875" style="236" customWidth="1"/>
  </cols>
  <sheetData>
    <row r="1" spans="1:8" ht="16.5">
      <c r="A1" s="382" t="s">
        <v>305</v>
      </c>
      <c r="B1" s="382"/>
      <c r="C1" s="382"/>
      <c r="D1" s="382"/>
      <c r="E1" s="382"/>
      <c r="F1" s="382"/>
      <c r="G1" s="382"/>
      <c r="H1" s="382"/>
    </row>
    <row r="2" spans="1:8" ht="19.5">
      <c r="A2" s="383" t="s">
        <v>262</v>
      </c>
      <c r="B2" s="383"/>
      <c r="C2" s="383"/>
      <c r="D2" s="383"/>
      <c r="E2" s="383"/>
      <c r="F2" s="383"/>
      <c r="G2" s="383"/>
      <c r="H2" s="383"/>
    </row>
    <row r="3" spans="1:8" ht="16.5">
      <c r="A3" s="384" t="s">
        <v>4</v>
      </c>
      <c r="B3" s="384"/>
      <c r="C3" s="384"/>
      <c r="D3" s="384"/>
      <c r="E3" s="384"/>
      <c r="F3" s="384"/>
      <c r="G3" s="384"/>
      <c r="H3" s="384"/>
    </row>
    <row r="4" spans="1:8" ht="16.5">
      <c r="A4" s="237"/>
      <c r="B4" s="237"/>
      <c r="C4" s="237"/>
      <c r="D4" s="237"/>
      <c r="E4" s="237"/>
      <c r="F4" s="237"/>
      <c r="G4" s="237"/>
      <c r="H4" s="237"/>
    </row>
    <row r="5" spans="1:8" ht="18.75" customHeight="1">
      <c r="A5" s="385" t="s">
        <v>5</v>
      </c>
      <c r="B5" s="385" t="s">
        <v>263</v>
      </c>
      <c r="C5" s="388" t="s">
        <v>9</v>
      </c>
      <c r="D5" s="391" t="s">
        <v>10</v>
      </c>
      <c r="E5" s="392"/>
      <c r="F5" s="392"/>
      <c r="G5" s="393"/>
      <c r="H5" s="397" t="s">
        <v>13</v>
      </c>
    </row>
    <row r="6" spans="1:8" ht="12.75" customHeight="1">
      <c r="A6" s="386"/>
      <c r="B6" s="386"/>
      <c r="C6" s="389"/>
      <c r="D6" s="394"/>
      <c r="E6" s="395"/>
      <c r="F6" s="395"/>
      <c r="G6" s="396"/>
      <c r="H6" s="398"/>
    </row>
    <row r="7" spans="1:8" s="240" customFormat="1" ht="46.5" customHeight="1">
      <c r="A7" s="387"/>
      <c r="B7" s="387"/>
      <c r="C7" s="390"/>
      <c r="D7" s="17" t="s">
        <v>128</v>
      </c>
      <c r="E7" s="238" t="s">
        <v>264</v>
      </c>
      <c r="F7" s="239" t="s">
        <v>265</v>
      </c>
      <c r="G7" s="239" t="s">
        <v>266</v>
      </c>
      <c r="H7" s="399"/>
    </row>
    <row r="8" spans="1:8" ht="27.75" customHeight="1">
      <c r="A8" s="241">
        <v>1</v>
      </c>
      <c r="B8" s="242" t="s">
        <v>267</v>
      </c>
      <c r="C8" s="241">
        <v>19</v>
      </c>
      <c r="D8" s="243">
        <v>19</v>
      </c>
      <c r="E8" s="241">
        <v>19</v>
      </c>
      <c r="F8" s="244"/>
      <c r="G8" s="241">
        <v>0</v>
      </c>
      <c r="H8" s="241"/>
    </row>
    <row r="9" spans="1:8" ht="48" customHeight="1">
      <c r="A9" s="241">
        <v>2</v>
      </c>
      <c r="B9" s="242" t="s">
        <v>268</v>
      </c>
      <c r="C9" s="241">
        <v>16</v>
      </c>
      <c r="D9" s="243">
        <v>19</v>
      </c>
      <c r="E9" s="241">
        <v>16</v>
      </c>
      <c r="F9" s="244"/>
      <c r="G9" s="241">
        <v>3</v>
      </c>
      <c r="H9" s="241"/>
    </row>
    <row r="10" spans="1:8" ht="44.25" customHeight="1">
      <c r="A10" s="241">
        <v>3</v>
      </c>
      <c r="B10" s="242" t="s">
        <v>269</v>
      </c>
      <c r="C10" s="241">
        <v>19</v>
      </c>
      <c r="D10" s="243">
        <v>19</v>
      </c>
      <c r="E10" s="241">
        <v>19</v>
      </c>
      <c r="G10" s="241">
        <v>0</v>
      </c>
      <c r="H10" s="241"/>
    </row>
    <row r="11" spans="1:8" ht="27.75" customHeight="1">
      <c r="A11" s="241">
        <v>4</v>
      </c>
      <c r="B11" s="242" t="s">
        <v>270</v>
      </c>
      <c r="C11" s="241">
        <v>16</v>
      </c>
      <c r="D11" s="243">
        <v>17</v>
      </c>
      <c r="E11" s="241">
        <v>16</v>
      </c>
      <c r="F11" s="244"/>
      <c r="G11" s="241">
        <v>1</v>
      </c>
      <c r="H11" s="241"/>
    </row>
    <row r="12" spans="1:8" ht="31.5" customHeight="1">
      <c r="A12" s="241">
        <v>5</v>
      </c>
      <c r="B12" s="242" t="s">
        <v>271</v>
      </c>
      <c r="C12" s="241">
        <v>16</v>
      </c>
      <c r="D12" s="243">
        <v>18</v>
      </c>
      <c r="E12" s="241">
        <v>16</v>
      </c>
      <c r="F12" s="244"/>
      <c r="G12" s="241">
        <v>2</v>
      </c>
      <c r="H12" s="241"/>
    </row>
    <row r="13" spans="1:8" ht="48" customHeight="1">
      <c r="A13" s="241">
        <v>6</v>
      </c>
      <c r="B13" s="242" t="s">
        <v>272</v>
      </c>
      <c r="C13" s="241">
        <v>19</v>
      </c>
      <c r="D13" s="243">
        <v>19</v>
      </c>
      <c r="E13" s="241">
        <v>19</v>
      </c>
      <c r="F13" s="244"/>
      <c r="G13" s="241">
        <v>0</v>
      </c>
      <c r="H13" s="241"/>
    </row>
    <row r="14" spans="1:8" ht="46.5" customHeight="1">
      <c r="A14" s="241">
        <v>7</v>
      </c>
      <c r="B14" s="242" t="s">
        <v>273</v>
      </c>
      <c r="C14" s="241">
        <v>12</v>
      </c>
      <c r="D14" s="243">
        <v>13</v>
      </c>
      <c r="E14" s="241">
        <v>12</v>
      </c>
      <c r="F14" s="244"/>
      <c r="G14" s="241">
        <v>1</v>
      </c>
      <c r="H14" s="241"/>
    </row>
    <row r="15" spans="1:9" ht="27.75" customHeight="1">
      <c r="A15" s="241">
        <v>8</v>
      </c>
      <c r="B15" s="242" t="s">
        <v>274</v>
      </c>
      <c r="C15" s="241">
        <v>10</v>
      </c>
      <c r="D15" s="243">
        <v>11</v>
      </c>
      <c r="E15" s="241">
        <v>10</v>
      </c>
      <c r="F15" s="245"/>
      <c r="G15" s="241">
        <v>1</v>
      </c>
      <c r="H15" s="241"/>
      <c r="I15" s="236">
        <v>13</v>
      </c>
    </row>
    <row r="16" spans="1:9" ht="27.75" customHeight="1">
      <c r="A16" s="241">
        <v>9</v>
      </c>
      <c r="B16" s="242" t="s">
        <v>275</v>
      </c>
      <c r="C16" s="241">
        <v>9</v>
      </c>
      <c r="D16" s="243">
        <v>10</v>
      </c>
      <c r="E16" s="241">
        <v>9</v>
      </c>
      <c r="F16" s="244"/>
      <c r="G16" s="241">
        <v>1</v>
      </c>
      <c r="H16" s="241"/>
      <c r="I16" s="236">
        <v>13</v>
      </c>
    </row>
    <row r="17" spans="1:8" ht="21" customHeight="1">
      <c r="A17" s="380" t="s">
        <v>276</v>
      </c>
      <c r="B17" s="381"/>
      <c r="C17" s="239">
        <f>SUM(C8:C16)</f>
        <v>136</v>
      </c>
      <c r="D17" s="239">
        <f>SUM(D8:D16)</f>
        <v>145</v>
      </c>
      <c r="E17" s="238">
        <f>SUM(E8:E16)</f>
        <v>136</v>
      </c>
      <c r="F17" s="238"/>
      <c r="G17" s="238">
        <f>SUM(G8:G16)</f>
        <v>9</v>
      </c>
      <c r="H17" s="239"/>
    </row>
  </sheetData>
  <sheetProtection/>
  <mergeCells count="9">
    <mergeCell ref="A17:B17"/>
    <mergeCell ref="A1:H1"/>
    <mergeCell ref="A2:H2"/>
    <mergeCell ref="A3:H3"/>
    <mergeCell ref="A5:A7"/>
    <mergeCell ref="B5:B7"/>
    <mergeCell ref="C5:C7"/>
    <mergeCell ref="D5:G6"/>
    <mergeCell ref="H5:H7"/>
  </mergeCells>
  <printOptions/>
  <pageMargins left="0.24" right="0.16" top="0.31" bottom="0.29" header="0.24" footer="0.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B26" sqref="B26"/>
    </sheetView>
  </sheetViews>
  <sheetFormatPr defaultColWidth="7.99609375" defaultRowHeight="16.5"/>
  <cols>
    <col min="1" max="1" width="2.99609375" style="247" customWidth="1"/>
    <col min="2" max="2" width="36.21484375" style="247" customWidth="1"/>
    <col min="3" max="3" width="15.99609375" style="236" customWidth="1"/>
    <col min="4" max="4" width="7.77734375" style="247" customWidth="1"/>
    <col min="5" max="5" width="8.10546875" style="247" customWidth="1"/>
    <col min="6" max="7" width="9.21484375" style="247" customWidth="1"/>
    <col min="8" max="8" width="10.99609375" style="247" customWidth="1"/>
    <col min="9" max="9" width="8.88671875" style="247" hidden="1" customWidth="1"/>
    <col min="10" max="10" width="9.99609375" style="247" hidden="1" customWidth="1"/>
    <col min="11" max="11" width="24.5546875" style="247" customWidth="1"/>
    <col min="12" max="16384" width="7.99609375" style="247" customWidth="1"/>
  </cols>
  <sheetData>
    <row r="1" spans="1:8" ht="16.5">
      <c r="A1" s="382" t="s">
        <v>261</v>
      </c>
      <c r="B1" s="382"/>
      <c r="C1" s="382"/>
      <c r="D1" s="382"/>
      <c r="E1" s="382"/>
      <c r="F1" s="382"/>
      <c r="G1" s="382"/>
      <c r="H1" s="382"/>
    </row>
    <row r="2" spans="1:10" ht="19.5">
      <c r="A2" s="362" t="s">
        <v>277</v>
      </c>
      <c r="B2" s="362"/>
      <c r="C2" s="362"/>
      <c r="D2" s="362"/>
      <c r="E2" s="362"/>
      <c r="F2" s="362"/>
      <c r="G2" s="362"/>
      <c r="H2" s="362"/>
      <c r="I2" s="362"/>
      <c r="J2" s="362"/>
    </row>
    <row r="3" spans="1:13" ht="16.5">
      <c r="A3" s="363" t="s">
        <v>4</v>
      </c>
      <c r="B3" s="363"/>
      <c r="C3" s="363"/>
      <c r="D3" s="363"/>
      <c r="E3" s="363"/>
      <c r="F3" s="363"/>
      <c r="G3" s="363"/>
      <c r="H3" s="363"/>
      <c r="I3" s="363"/>
      <c r="J3" s="363"/>
      <c r="K3" s="187"/>
      <c r="L3" s="187"/>
      <c r="M3" s="187"/>
    </row>
    <row r="5" spans="1:10" s="283" customFormat="1" ht="26.25" customHeight="1">
      <c r="A5" s="385" t="s">
        <v>278</v>
      </c>
      <c r="B5" s="385" t="s">
        <v>6</v>
      </c>
      <c r="C5" s="385" t="s">
        <v>279</v>
      </c>
      <c r="D5" s="385" t="s">
        <v>280</v>
      </c>
      <c r="E5" s="380" t="s">
        <v>10</v>
      </c>
      <c r="F5" s="400"/>
      <c r="G5" s="400"/>
      <c r="H5" s="381"/>
      <c r="I5" s="385" t="s">
        <v>11</v>
      </c>
      <c r="J5" s="385" t="s">
        <v>12</v>
      </c>
    </row>
    <row r="6" spans="1:10" s="283" customFormat="1" ht="52.5" customHeight="1">
      <c r="A6" s="387"/>
      <c r="B6" s="387"/>
      <c r="C6" s="387"/>
      <c r="D6" s="387"/>
      <c r="E6" s="281" t="s">
        <v>14</v>
      </c>
      <c r="F6" s="281" t="s">
        <v>281</v>
      </c>
      <c r="G6" s="281" t="s">
        <v>17</v>
      </c>
      <c r="H6" s="281" t="s">
        <v>18</v>
      </c>
      <c r="I6" s="387"/>
      <c r="J6" s="387"/>
    </row>
    <row r="7" spans="1:10" s="240" customFormat="1" ht="14.25">
      <c r="A7" s="239">
        <v>1</v>
      </c>
      <c r="B7" s="239">
        <v>2</v>
      </c>
      <c r="C7" s="239">
        <v>3</v>
      </c>
      <c r="D7" s="239">
        <v>4</v>
      </c>
      <c r="E7" s="239">
        <v>5</v>
      </c>
      <c r="F7" s="239">
        <v>6</v>
      </c>
      <c r="G7" s="239">
        <v>7</v>
      </c>
      <c r="H7" s="239" t="s">
        <v>282</v>
      </c>
      <c r="I7" s="239">
        <v>9</v>
      </c>
      <c r="J7" s="239" t="s">
        <v>283</v>
      </c>
    </row>
    <row r="8" spans="1:10" s="252" customFormat="1" ht="24.75" customHeight="1">
      <c r="A8" s="248"/>
      <c r="B8" s="249" t="s">
        <v>284</v>
      </c>
      <c r="C8" s="250"/>
      <c r="D8" s="251"/>
      <c r="E8" s="251"/>
      <c r="F8" s="251"/>
      <c r="G8" s="251"/>
      <c r="H8" s="251"/>
      <c r="I8" s="251"/>
      <c r="J8" s="251"/>
    </row>
    <row r="9" spans="1:10" ht="24.75" customHeight="1">
      <c r="A9" s="253" t="s">
        <v>19</v>
      </c>
      <c r="B9" s="254" t="s">
        <v>285</v>
      </c>
      <c r="C9" s="253"/>
      <c r="D9" s="255"/>
      <c r="E9" s="255"/>
      <c r="F9" s="255"/>
      <c r="G9" s="255"/>
      <c r="H9" s="255"/>
      <c r="I9" s="255"/>
      <c r="J9" s="255"/>
    </row>
    <row r="10" spans="1:10" s="260" customFormat="1" ht="20.25" customHeight="1">
      <c r="A10" s="256">
        <v>1</v>
      </c>
      <c r="B10" s="257" t="s">
        <v>286</v>
      </c>
      <c r="C10" s="256" t="s">
        <v>285</v>
      </c>
      <c r="D10" s="258">
        <v>18</v>
      </c>
      <c r="E10" s="258">
        <v>18</v>
      </c>
      <c r="F10" s="258">
        <v>18</v>
      </c>
      <c r="G10" s="258">
        <v>18</v>
      </c>
      <c r="H10" s="259">
        <f>G10/D10</f>
        <v>1</v>
      </c>
      <c r="I10" s="258"/>
      <c r="J10" s="258"/>
    </row>
    <row r="11" spans="1:10" ht="20.25" customHeight="1">
      <c r="A11" s="256"/>
      <c r="B11" s="261" t="s">
        <v>23</v>
      </c>
      <c r="C11" s="256"/>
      <c r="D11" s="255"/>
      <c r="E11" s="255"/>
      <c r="F11" s="255"/>
      <c r="G11" s="255"/>
      <c r="H11" s="259"/>
      <c r="I11" s="255"/>
      <c r="J11" s="255"/>
    </row>
    <row r="12" spans="1:10" s="260" customFormat="1" ht="24.75" customHeight="1">
      <c r="A12" s="262" t="s">
        <v>24</v>
      </c>
      <c r="B12" s="257" t="s">
        <v>287</v>
      </c>
      <c r="C12" s="256" t="s">
        <v>285</v>
      </c>
      <c r="D12" s="258">
        <v>1</v>
      </c>
      <c r="E12" s="258">
        <v>1</v>
      </c>
      <c r="F12" s="258">
        <v>0</v>
      </c>
      <c r="G12" s="258">
        <v>1</v>
      </c>
      <c r="H12" s="259">
        <f aca="true" t="shared" si="0" ref="H12:H24">G12/D12</f>
        <v>1</v>
      </c>
      <c r="I12" s="258"/>
      <c r="J12" s="258"/>
    </row>
    <row r="13" spans="1:10" ht="24.75" customHeight="1">
      <c r="A13" s="262" t="s">
        <v>24</v>
      </c>
      <c r="B13" s="257" t="s">
        <v>288</v>
      </c>
      <c r="C13" s="256" t="s">
        <v>285</v>
      </c>
      <c r="D13" s="255">
        <v>1</v>
      </c>
      <c r="E13" s="255">
        <v>1</v>
      </c>
      <c r="F13" s="255">
        <v>0</v>
      </c>
      <c r="G13" s="255">
        <v>1</v>
      </c>
      <c r="H13" s="259">
        <f t="shared" si="0"/>
        <v>1</v>
      </c>
      <c r="I13" s="255"/>
      <c r="J13" s="255"/>
    </row>
    <row r="14" spans="1:10" s="260" customFormat="1" ht="24.75" customHeight="1">
      <c r="A14" s="256">
        <v>2</v>
      </c>
      <c r="B14" s="257" t="s">
        <v>289</v>
      </c>
      <c r="C14" s="256" t="s">
        <v>69</v>
      </c>
      <c r="D14" s="263">
        <v>9120</v>
      </c>
      <c r="E14" s="263">
        <v>9200</v>
      </c>
      <c r="F14" s="263">
        <v>9200</v>
      </c>
      <c r="G14" s="263">
        <v>9200</v>
      </c>
      <c r="H14" s="259">
        <f t="shared" si="0"/>
        <v>1.0087719298245614</v>
      </c>
      <c r="I14" s="263"/>
      <c r="J14" s="258"/>
    </row>
    <row r="15" spans="1:10" ht="24.75" customHeight="1">
      <c r="A15" s="256">
        <v>3</v>
      </c>
      <c r="B15" s="257" t="s">
        <v>290</v>
      </c>
      <c r="C15" s="256" t="s">
        <v>69</v>
      </c>
      <c r="D15" s="264">
        <v>9120</v>
      </c>
      <c r="E15" s="264">
        <v>9200</v>
      </c>
      <c r="F15" s="264">
        <v>9200</v>
      </c>
      <c r="G15" s="264">
        <v>9200</v>
      </c>
      <c r="H15" s="259">
        <f t="shared" si="0"/>
        <v>1.0087719298245614</v>
      </c>
      <c r="I15" s="264"/>
      <c r="J15" s="255"/>
    </row>
    <row r="16" spans="1:10" s="260" customFormat="1" ht="21.75" customHeight="1">
      <c r="A16" s="256"/>
      <c r="B16" s="261" t="s">
        <v>291</v>
      </c>
      <c r="C16" s="256" t="s">
        <v>69</v>
      </c>
      <c r="D16" s="265">
        <v>9120</v>
      </c>
      <c r="E16" s="265">
        <v>9200</v>
      </c>
      <c r="F16" s="265">
        <f>F15</f>
        <v>9200</v>
      </c>
      <c r="G16" s="265">
        <f>G15</f>
        <v>9200</v>
      </c>
      <c r="H16" s="259">
        <f t="shared" si="0"/>
        <v>1.0087719298245614</v>
      </c>
      <c r="I16" s="265"/>
      <c r="J16" s="258"/>
    </row>
    <row r="17" spans="1:12" s="256" customFormat="1" ht="26.25" customHeight="1">
      <c r="A17" s="256">
        <v>5</v>
      </c>
      <c r="B17" s="266" t="s">
        <v>292</v>
      </c>
      <c r="C17" s="256" t="s">
        <v>36</v>
      </c>
      <c r="D17" s="256">
        <v>33</v>
      </c>
      <c r="E17" s="256">
        <v>35</v>
      </c>
      <c r="G17" s="256">
        <v>35</v>
      </c>
      <c r="H17" s="259">
        <f t="shared" si="0"/>
        <v>1.0606060606060606</v>
      </c>
      <c r="K17" s="267"/>
      <c r="L17" s="268"/>
    </row>
    <row r="18" spans="1:10" ht="24.75" customHeight="1">
      <c r="A18" s="253" t="s">
        <v>66</v>
      </c>
      <c r="B18" s="254" t="s">
        <v>293</v>
      </c>
      <c r="C18" s="256"/>
      <c r="D18" s="255"/>
      <c r="E18" s="255"/>
      <c r="F18" s="255"/>
      <c r="G18" s="255"/>
      <c r="H18" s="259"/>
      <c r="I18" s="255"/>
      <c r="J18" s="255"/>
    </row>
    <row r="19" spans="1:10" ht="19.5" customHeight="1">
      <c r="A19" s="262" t="s">
        <v>24</v>
      </c>
      <c r="B19" s="257" t="s">
        <v>294</v>
      </c>
      <c r="C19" s="256" t="s">
        <v>293</v>
      </c>
      <c r="D19" s="255"/>
      <c r="E19" s="255"/>
      <c r="F19" s="255"/>
      <c r="G19" s="255"/>
      <c r="H19" s="259"/>
      <c r="I19" s="255"/>
      <c r="J19" s="255"/>
    </row>
    <row r="20" spans="1:10" s="260" customFormat="1" ht="20.25" customHeight="1">
      <c r="A20" s="256"/>
      <c r="B20" s="269" t="s">
        <v>295</v>
      </c>
      <c r="C20" s="256" t="s">
        <v>293</v>
      </c>
      <c r="D20" s="258"/>
      <c r="E20" s="258"/>
      <c r="F20" s="258"/>
      <c r="G20" s="258"/>
      <c r="H20" s="259"/>
      <c r="I20" s="258"/>
      <c r="J20" s="258"/>
    </row>
    <row r="21" spans="1:10" ht="24.75" customHeight="1">
      <c r="A21" s="253" t="s">
        <v>226</v>
      </c>
      <c r="B21" s="254" t="s">
        <v>296</v>
      </c>
      <c r="C21" s="253"/>
      <c r="D21" s="255"/>
      <c r="E21" s="255"/>
      <c r="F21" s="255"/>
      <c r="G21" s="255"/>
      <c r="H21" s="259"/>
      <c r="I21" s="255"/>
      <c r="J21" s="255"/>
    </row>
    <row r="22" spans="1:10" ht="24.75" customHeight="1">
      <c r="A22" s="256">
        <v>1</v>
      </c>
      <c r="B22" s="257" t="s">
        <v>297</v>
      </c>
      <c r="C22" s="256" t="s">
        <v>298</v>
      </c>
      <c r="D22" s="255">
        <v>22</v>
      </c>
      <c r="E22" s="255">
        <v>24</v>
      </c>
      <c r="F22" s="255">
        <v>1</v>
      </c>
      <c r="G22" s="255">
        <v>24</v>
      </c>
      <c r="H22" s="259">
        <f t="shared" si="0"/>
        <v>1.0909090909090908</v>
      </c>
      <c r="I22" s="255"/>
      <c r="J22" s="255"/>
    </row>
    <row r="23" spans="1:10" s="260" customFormat="1" ht="18.75" customHeight="1">
      <c r="A23" s="256"/>
      <c r="B23" s="257" t="s">
        <v>299</v>
      </c>
      <c r="C23" s="256" t="s">
        <v>298</v>
      </c>
      <c r="D23" s="258">
        <v>22</v>
      </c>
      <c r="E23" s="258">
        <v>24</v>
      </c>
      <c r="F23" s="258">
        <v>1</v>
      </c>
      <c r="G23" s="258">
        <v>24</v>
      </c>
      <c r="H23" s="259">
        <f t="shared" si="0"/>
        <v>1.0909090909090908</v>
      </c>
      <c r="I23" s="258"/>
      <c r="J23" s="258"/>
    </row>
    <row r="24" spans="1:10" ht="24.75" customHeight="1" thickBot="1">
      <c r="A24" s="284">
        <v>2</v>
      </c>
      <c r="B24" s="285" t="s">
        <v>300</v>
      </c>
      <c r="C24" s="284" t="s">
        <v>301</v>
      </c>
      <c r="D24" s="286">
        <v>750</v>
      </c>
      <c r="E24" s="286">
        <v>780</v>
      </c>
      <c r="F24" s="286">
        <v>770</v>
      </c>
      <c r="G24" s="286">
        <v>780</v>
      </c>
      <c r="H24" s="259">
        <f t="shared" si="0"/>
        <v>1.04</v>
      </c>
      <c r="I24" s="270"/>
      <c r="J24" s="270"/>
    </row>
    <row r="25" ht="18" customHeight="1" thickTop="1"/>
    <row r="26" ht="18" customHeight="1"/>
    <row r="27" ht="18" customHeight="1"/>
    <row r="28" ht="18" customHeight="1"/>
  </sheetData>
  <sheetProtection/>
  <mergeCells count="10">
    <mergeCell ref="A1:H1"/>
    <mergeCell ref="A2:J2"/>
    <mergeCell ref="A3:J3"/>
    <mergeCell ref="A5:A6"/>
    <mergeCell ref="B5:B6"/>
    <mergeCell ref="C5:C6"/>
    <mergeCell ref="D5:D6"/>
    <mergeCell ref="E5:H5"/>
    <mergeCell ref="I5:I6"/>
    <mergeCell ref="J5:J6"/>
  </mergeCells>
  <printOptions/>
  <pageMargins left="0.75" right="0.75" top="0.37" bottom="0.26" header="0.23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trannamdt1</dc:creator>
  <cp:keywords/>
  <dc:description/>
  <cp:lastModifiedBy>trannamdt1</cp:lastModifiedBy>
  <cp:lastPrinted>2019-06-18T01:15:27Z</cp:lastPrinted>
  <dcterms:created xsi:type="dcterms:W3CDTF">2019-06-02T10:06:31Z</dcterms:created>
  <dcterms:modified xsi:type="dcterms:W3CDTF">2019-06-23T06:54:06Z</dcterms:modified>
  <cp:category/>
  <cp:version/>
  <cp:contentType/>
  <cp:contentStatus/>
</cp:coreProperties>
</file>